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ept (2)_...dd5b15a0_2T6PUA" sheetId="8" state="hidden" r:id="rId7"/>
    <sheet name="OSR_Div 2_1PQ800A" sheetId="10" state="hidden" r:id="rId8"/>
    <sheet name="OSR_Div 1 (2...9b2bdc94_1Y8VZ4A" sheetId="11" state="hidden" r:id="rId9"/>
    <sheet name="OSR_Div 3_18723PH" sheetId="13" state="hidden" r:id="rId10"/>
    <sheet name="OSR_Div 1 (3...74ea2e91_1YANJVT" sheetId="14" state="hidden" r:id="rId11"/>
    <sheet name="OSR_300_IYZXI6" sheetId="16" state="hidden" r:id="rId12"/>
    <sheet name="OSR_Div 1 (4)...cdd6f638_NQSRHK" sheetId="17" state="hidden" r:id="rId13"/>
    <sheet name="OSR_300 &amp; 317_1C00ID4" sheetId="19" state="hidden" r:id="rId14"/>
    <sheet name="OSR_Div 1 (5)...14c61d9ac_RUIH7" sheetId="20" state="hidden" r:id="rId15"/>
    <sheet name="OSR_310_1CMTOSB" sheetId="22" state="hidden" r:id="rId16"/>
    <sheet name="OSR_Div 1 (6)...754b1b2a_ZV1FUK" sheetId="23" state="hidden" r:id="rId17"/>
    <sheet name="OSR_330_10VFP5Y" sheetId="25" state="hidden" r:id="rId18"/>
    <sheet name="OSR_Div 1 (7)...77c4adfc_YECVQC" sheetId="26" state="hidden" r:id="rId19"/>
    <sheet name="OSR_308_UAWDAG" sheetId="28" state="hidden" r:id="rId20"/>
    <sheet name="OSR_Div 1 (8...54681dd8_1N56J6G" sheetId="29" state="hidden" r:id="rId21"/>
    <sheet name="OSR_331_10VKQAJ" sheetId="31" state="hidden" r:id="rId22"/>
    <sheet name="OSR_Div 1 (9)...81df0cf4_TBZUNU" sheetId="32" state="hidden" r:id="rId23"/>
    <sheet name="OSR_332_6NDVBW" sheetId="34" state="hidden" r:id="rId24"/>
    <sheet name="OSR_Div 1 (10...e834aaf2_4B2R3Z" sheetId="35" state="hidden" r:id="rId25"/>
    <sheet name="OSR_Div 4_1740TMT" sheetId="37" state="hidden" r:id="rId26"/>
    <sheet name="OSR_Div 1 (1...42fef80a_1JUNUIZ" sheetId="38" state="hidden" r:id="rId27"/>
    <sheet name="OSR_310 &amp; 491_1NGRCS9" sheetId="40" state="hidden" r:id="rId28"/>
    <sheet name="OSR_Div 4 (2)...a8a8204b_XPPX5M" sheetId="41" state="hidden" r:id="rId29"/>
    <sheet name="OSR_491_9Z9JH5" sheetId="43" state="hidden" r:id="rId30"/>
    <sheet name="OSR_310 &amp; 491...c23f2d59_X1JXXU" sheetId="44" state="hidden" r:id="rId31"/>
    <sheet name="OSR_492_943FP1" sheetId="46" state="hidden" r:id="rId32"/>
    <sheet name="OSR_310 &amp; 49...76bf5af7_1A2901X" sheetId="47" state="hidden" r:id="rId33"/>
    <sheet name="OSR_Div 5_16NAZO2" sheetId="49" state="hidden" r:id="rId34"/>
    <sheet name="OSR_310 &amp; 49...7615ada9_1PJ8EDG" sheetId="50" state="hidden" r:id="rId35"/>
    <sheet name="OSR_Div 6_P37YY7" sheetId="52" state="hidden" r:id="rId36"/>
    <sheet name="OSR_Div 5 (2...bac05800_1LZIM8H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3" r:id="rId57"/>
    <sheet name="331" sheetId="30" r:id="rId58"/>
    <sheet name="315" sheetId="68" r:id="rId59"/>
    <sheet name="326" sheetId="75" r:id="rId60"/>
    <sheet name="332" sheetId="33" r:id="rId61"/>
    <sheet name="316" sheetId="69" r:id="rId62"/>
    <sheet name="Div 6" sheetId="51" r:id="rId63"/>
    <sheet name="317" sheetId="70" r:id="rId64"/>
    <sheet name="310" sheetId="21" r:id="rId65"/>
    <sheet name="309" sheetId="65" r:id="rId66"/>
    <sheet name="313" sheetId="67" r:id="rId67"/>
    <sheet name="321" sheetId="71" r:id="rId68"/>
    <sheet name="322" sheetId="72" r:id="rId69"/>
    <sheet name="325" sheetId="74" r:id="rId70"/>
    <sheet name="327" sheetId="76" r:id="rId71"/>
    <sheet name="Div 4" sheetId="36" r:id="rId72"/>
    <sheet name="310 &amp; 491" sheetId="39" r:id="rId73"/>
    <sheet name="491" sheetId="42" r:id="rId74"/>
    <sheet name="405" sheetId="77" r:id="rId75"/>
    <sheet name="406" sheetId="78" r:id="rId76"/>
    <sheet name="411" sheetId="79" r:id="rId77"/>
    <sheet name="412" sheetId="80" r:id="rId78"/>
    <sheet name="413" sheetId="81" r:id="rId79"/>
    <sheet name="414" sheetId="82" r:id="rId80"/>
    <sheet name="415" sheetId="83" r:id="rId81"/>
    <sheet name="418" sheetId="84" r:id="rId82"/>
    <sheet name="420" sheetId="85" r:id="rId83"/>
    <sheet name="423" sheetId="86" r:id="rId84"/>
    <sheet name="424" sheetId="87" r:id="rId85"/>
    <sheet name="425" sheetId="88" r:id="rId86"/>
    <sheet name="455" sheetId="94" r:id="rId87"/>
    <sheet name="492" sheetId="45" r:id="rId88"/>
    <sheet name="430" sheetId="89" r:id="rId89"/>
    <sheet name="433" sheetId="90" r:id="rId90"/>
    <sheet name="435" sheetId="91" r:id="rId91"/>
    <sheet name="444" sheetId="92" r:id="rId92"/>
    <sheet name="450" sheetId="93" r:id="rId93"/>
    <sheet name="Div 5" sheetId="48" r:id="rId94"/>
    <sheet name="501" sheetId="95" r:id="rId95"/>
    <sheet name="Dept" sheetId="96" state="hidden" r:id="rId96"/>
    <sheet name="OSR_Dept_Y0WUKY" sheetId="97" state="hidden" r:id="rId97"/>
    <sheet name="OSR_Summary (...56e5d78f_5JEYZH" sheetId="98" state="hidden" r:id="rId98"/>
  </sheets>
  <definedNames>
    <definedName name="OSRRefD11_0x" localSheetId="48">'300'!$D$11:$M$11</definedName>
    <definedName name="OSRRefD11_0x" localSheetId="49">'300 &amp; 317'!$D$11:$M$11</definedName>
    <definedName name="OSRRefD11_0x" localSheetId="53">'307'!$D$11:$M$11</definedName>
    <definedName name="OSRRefD11_0x" localSheetId="54">'308'!$D$11:$M$11</definedName>
    <definedName name="OSRRefD11_0x" localSheetId="65">'309'!$D$11:$M$11</definedName>
    <definedName name="OSRRefD11_0x" localSheetId="64">'310'!$D$11:$M$11</definedName>
    <definedName name="OSRRefD11_0x" localSheetId="72">'310 &amp; 491'!$D$11:$M$11</definedName>
    <definedName name="OSRRefD11_0x" localSheetId="55">'311'!$D$11:$M$11</definedName>
    <definedName name="OSRRefD11_0x" localSheetId="66">'313'!$D$11:$M$11</definedName>
    <definedName name="OSRRefD11_0x" localSheetId="58">'315'!$D$11:$M$11</definedName>
    <definedName name="OSRRefD11_0x" localSheetId="61">'316'!$D$11:$M$11</definedName>
    <definedName name="OSRRefD11_0x" localSheetId="63">'317'!$D$11:$M$11</definedName>
    <definedName name="OSRRefD11_0x" localSheetId="67">'321'!$D$11:$M$11</definedName>
    <definedName name="OSRRefD11_0x" localSheetId="68">'322'!$D$11:$M$11</definedName>
    <definedName name="OSRRefD11_0x" localSheetId="56">'324'!$D$11:$M$11</definedName>
    <definedName name="OSRRefD11_0x" localSheetId="59">'326'!$D$11:$M$11</definedName>
    <definedName name="OSRRefD11_0x" localSheetId="70">'327'!$D$11:$M$11</definedName>
    <definedName name="OSRRefD11_0x" localSheetId="52">'330'!$D$11:$M$11</definedName>
    <definedName name="OSRRefD11_0x" localSheetId="57">'331'!$D$11:$M$11</definedName>
    <definedName name="OSRRefD11_0x" localSheetId="60">'332'!$D$11:$M$11</definedName>
    <definedName name="OSRRefD11_0x" localSheetId="74">'405'!$D$11:$M$11</definedName>
    <definedName name="OSRRefD11_0x" localSheetId="77">'412'!$D$11:$M$11</definedName>
    <definedName name="OSRRefD11_0x" localSheetId="78">'413'!$D$11:$M$11</definedName>
    <definedName name="OSRRefD11_0x" localSheetId="79">'414'!$D$11:$M$11</definedName>
    <definedName name="OSRRefD11_0x" localSheetId="80">'415'!$D$11:$M$11</definedName>
    <definedName name="OSRRefD11_0x" localSheetId="81">'418'!$D$11:$M$11</definedName>
    <definedName name="OSRRefD11_0x" localSheetId="82">'420'!$D$11:$M$11</definedName>
    <definedName name="OSRRefD11_0x" localSheetId="89">'433'!$D$11:$M$11</definedName>
    <definedName name="OSRRefD11_0x" localSheetId="91">'444'!$D$11:$M$11</definedName>
    <definedName name="OSRRefD11_0x" localSheetId="92">'450'!$D$11:$M$11</definedName>
    <definedName name="OSRRefD11_0x" localSheetId="73">'491'!$D$11:$M$11</definedName>
    <definedName name="OSRRefD11_0x" localSheetId="87">'492'!$D$11:$M$11</definedName>
    <definedName name="OSRRefD11_0x" localSheetId="94">'501'!$D$11:$M$11</definedName>
    <definedName name="OSRRefD11_0x" localSheetId="47">'Div 3'!$D$11:$M$11</definedName>
    <definedName name="OSRRefD11_0x" localSheetId="71">'Div 4'!$D$11:$M$11</definedName>
    <definedName name="OSRRefD11_0x" localSheetId="93">'Div 5'!$D$11:$M$11</definedName>
    <definedName name="OSRRefD11_0x" localSheetId="62">'Div 6'!$D$11:$M$11</definedName>
    <definedName name="OSRRefD11_0x" localSheetId="2">Summary!$D$11:$M$11</definedName>
    <definedName name="OSRRefD11_10x" localSheetId="48">'300'!$D$21:$M$21</definedName>
    <definedName name="OSRRefD11_10x" localSheetId="49">'300 &amp; 317'!$D$21:$M$21</definedName>
    <definedName name="OSRRefD11_10x" localSheetId="53">'307'!$D$21:$M$21</definedName>
    <definedName name="OSRRefD11_10x" localSheetId="54">'308'!$D$21:$M$21</definedName>
    <definedName name="OSRRefD11_10x" localSheetId="72">'310 &amp; 491'!$D$21:$M$21</definedName>
    <definedName name="OSRRefD11_10x" localSheetId="55">'311'!$D$21:$M$21</definedName>
    <definedName name="OSRRefD11_10x" localSheetId="58">'315'!$D$21:$M$21</definedName>
    <definedName name="OSRRefD11_10x" localSheetId="61">'316'!$D$21:$M$21</definedName>
    <definedName name="OSRRefD11_10x" localSheetId="63">'317'!$D$21:$M$21</definedName>
    <definedName name="OSRRefD11_10x" localSheetId="59">'326'!$D$21:$M$21</definedName>
    <definedName name="OSRRefD11_10x" localSheetId="52">'330'!$D$21:$M$21</definedName>
    <definedName name="OSRRefD11_10x" localSheetId="57">'331'!$D$21:$M$21</definedName>
    <definedName name="OSRRefD11_10x" localSheetId="60">'332'!$D$21:$M$21</definedName>
    <definedName name="OSRRefD11_10x" localSheetId="47">'Div 3'!$D$21:$M$21</definedName>
    <definedName name="OSRRefD11_10x" localSheetId="62">'Div 6'!$D$21:$M$21</definedName>
    <definedName name="OSRRefD11_10x" localSheetId="2">Summary!$D$21:$M$21</definedName>
    <definedName name="OSRRefD11_11x" localSheetId="48">'300'!$D$22:$M$22</definedName>
    <definedName name="OSRRefD11_11x" localSheetId="49">'300 &amp; 317'!$D$22:$M$22</definedName>
    <definedName name="OSRRefD11_11x" localSheetId="54">'308'!$D$22:$M$22</definedName>
    <definedName name="OSRRefD11_11x" localSheetId="72">'310 &amp; 491'!$D$22:$M$22</definedName>
    <definedName name="OSRRefD11_11x" localSheetId="55">'311'!$D$22:$M$22</definedName>
    <definedName name="OSRRefD11_11x" localSheetId="58">'315'!$D$22:$M$22</definedName>
    <definedName name="OSRRefD11_11x" localSheetId="61">'316'!$D$22:$M$22</definedName>
    <definedName name="OSRRefD11_11x" localSheetId="63">'317'!$D$22:$M$22</definedName>
    <definedName name="OSRRefD11_11x" localSheetId="59">'326'!$D$22:$M$22</definedName>
    <definedName name="OSRRefD11_11x" localSheetId="52">'330'!$D$22:$M$22</definedName>
    <definedName name="OSRRefD11_11x" localSheetId="57">'331'!$D$22:$M$22</definedName>
    <definedName name="OSRRefD11_11x" localSheetId="60">'332'!$D$22:$M$22</definedName>
    <definedName name="OSRRefD11_11x" localSheetId="47">'Div 3'!$D$22:$M$22</definedName>
    <definedName name="OSRRefD11_11x" localSheetId="62">'Div 6'!$D$22:$M$22</definedName>
    <definedName name="OSRRefD11_11x" localSheetId="2">Summary!$D$22:$M$22</definedName>
    <definedName name="OSRRefD11_12x" localSheetId="48">'300'!$D$23:$M$23</definedName>
    <definedName name="OSRRefD11_12x" localSheetId="49">'300 &amp; 317'!$D$23:$M$23</definedName>
    <definedName name="OSRRefD11_12x" localSheetId="54">'308'!$D$23:$M$23</definedName>
    <definedName name="OSRRefD11_12x" localSheetId="72">'310 &amp; 491'!$D$23:$M$23</definedName>
    <definedName name="OSRRefD11_12x" localSheetId="55">'311'!$D$23:$M$23</definedName>
    <definedName name="OSRRefD11_12x" localSheetId="58">'315'!$D$23:$M$23</definedName>
    <definedName name="OSRRefD11_12x" localSheetId="63">'317'!$D$23:$M$23</definedName>
    <definedName name="OSRRefD11_12x" localSheetId="59">'326'!$D$23:$M$23</definedName>
    <definedName name="OSRRefD11_12x" localSheetId="52">'330'!$D$23:$M$23</definedName>
    <definedName name="OSRRefD11_12x" localSheetId="57">'331'!$D$23:$M$23</definedName>
    <definedName name="OSRRefD11_12x" localSheetId="47">'Div 3'!$D$23:$M$23</definedName>
    <definedName name="OSRRefD11_12x" localSheetId="62">'Div 6'!$D$23:$M$23</definedName>
    <definedName name="OSRRefD11_12x" localSheetId="2">Summary!$D$23:$M$23</definedName>
    <definedName name="OSRRefD11_13x" localSheetId="48">'300'!$D$24:$M$24</definedName>
    <definedName name="OSRRefD11_13x" localSheetId="49">'300 &amp; 317'!$D$24:$M$24</definedName>
    <definedName name="OSRRefD11_13x" localSheetId="54">'308'!$D$24:$M$24</definedName>
    <definedName name="OSRRefD11_13x" localSheetId="55">'311'!$D$24:$M$24</definedName>
    <definedName name="OSRRefD11_13x" localSheetId="58">'315'!$D$24:$M$24</definedName>
    <definedName name="OSRRefD11_13x" localSheetId="63">'317'!$D$24:$M$24</definedName>
    <definedName name="OSRRefD11_13x" localSheetId="59">'326'!$D$24:$M$24</definedName>
    <definedName name="OSRRefD11_13x" localSheetId="52">'330'!$D$24:$M$24</definedName>
    <definedName name="OSRRefD11_13x" localSheetId="57">'331'!$D$24:$M$24</definedName>
    <definedName name="OSRRefD11_13x" localSheetId="47">'Div 3'!$D$24:$M$24</definedName>
    <definedName name="OSRRefD11_13x" localSheetId="62">'Div 6'!$D$24:$M$24</definedName>
    <definedName name="OSRRefD11_13x" localSheetId="2">Summary!$D$24:$M$24</definedName>
    <definedName name="OSRRefD11_14x" localSheetId="48">'300'!$D$25:$M$25</definedName>
    <definedName name="OSRRefD11_14x" localSheetId="49">'300 &amp; 317'!$D$25:$M$25</definedName>
    <definedName name="OSRRefD11_14x" localSheetId="54">'308'!$D$25:$M$25</definedName>
    <definedName name="OSRRefD11_14x" localSheetId="55">'311'!$D$25:$M$25</definedName>
    <definedName name="OSRRefD11_14x" localSheetId="58">'315'!$D$25:$M$25</definedName>
    <definedName name="OSRRefD11_14x" localSheetId="63">'317'!$D$25:$M$25</definedName>
    <definedName name="OSRRefD11_14x" localSheetId="59">'326'!$D$25:$M$25</definedName>
    <definedName name="OSRRefD11_14x" localSheetId="57">'331'!$D$25:$M$25</definedName>
    <definedName name="OSRRefD11_14x" localSheetId="47">'Div 3'!$D$25:$M$25</definedName>
    <definedName name="OSRRefD11_14x" localSheetId="62">'Div 6'!$D$25:$M$25</definedName>
    <definedName name="OSRRefD11_14x" localSheetId="2">Summary!$D$25:$M$25</definedName>
    <definedName name="OSRRefD11_15x" localSheetId="48">'300'!$D$26:$M$26</definedName>
    <definedName name="OSRRefD11_15x" localSheetId="49">'300 &amp; 317'!$D$26:$M$26</definedName>
    <definedName name="OSRRefD11_15x" localSheetId="54">'308'!$D$26:$M$26</definedName>
    <definedName name="OSRRefD11_15x" localSheetId="55">'311'!$D$26:$M$26</definedName>
    <definedName name="OSRRefD11_15x" localSheetId="58">'315'!$D$26:$M$26</definedName>
    <definedName name="OSRRefD11_15x" localSheetId="63">'317'!$D$26:$M$26</definedName>
    <definedName name="OSRRefD11_15x" localSheetId="59">'326'!$D$26:$M$26</definedName>
    <definedName name="OSRRefD11_15x" localSheetId="57">'331'!$D$26:$M$26</definedName>
    <definedName name="OSRRefD11_15x" localSheetId="47">'Div 3'!$D$26:$M$26</definedName>
    <definedName name="OSRRefD11_15x" localSheetId="62">'Div 6'!$D$26:$M$26</definedName>
    <definedName name="OSRRefD11_15x" localSheetId="2">Summary!$D$26:$M$26</definedName>
    <definedName name="OSRRefD11_16x" localSheetId="48">'300'!$D$27:$M$27</definedName>
    <definedName name="OSRRefD11_16x" localSheetId="49">'300 &amp; 317'!$D$27:$M$27</definedName>
    <definedName name="OSRRefD11_16x" localSheetId="54">'308'!$D$27:$M$27</definedName>
    <definedName name="OSRRefD11_16x" localSheetId="55">'311'!$D$27:$M$27</definedName>
    <definedName name="OSRRefD11_16x" localSheetId="58">'315'!$D$27:$M$27</definedName>
    <definedName name="OSRRefD11_16x" localSheetId="63">'317'!$D$27:$M$27</definedName>
    <definedName name="OSRRefD11_16x" localSheetId="59">'326'!$D$27:$M$27</definedName>
    <definedName name="OSRRefD11_16x" localSheetId="57">'331'!$D$27:$M$27</definedName>
    <definedName name="OSRRefD11_16x" localSheetId="47">'Div 3'!$D$27:$M$27</definedName>
    <definedName name="OSRRefD11_16x" localSheetId="62">'Div 6'!$D$27:$M$27</definedName>
    <definedName name="OSRRefD11_16x" localSheetId="2">Summary!$D$27:$M$27</definedName>
    <definedName name="OSRRefD11_17x" localSheetId="48">'300'!$D$28:$M$28</definedName>
    <definedName name="OSRRefD11_17x" localSheetId="49">'300 &amp; 317'!$D$28:$M$28</definedName>
    <definedName name="OSRRefD11_17x" localSheetId="54">'308'!$D$28:$M$28</definedName>
    <definedName name="OSRRefD11_17x" localSheetId="55">'311'!$D$28:$M$28</definedName>
    <definedName name="OSRRefD11_17x" localSheetId="58">'315'!$D$28:$M$28</definedName>
    <definedName name="OSRRefD11_17x" localSheetId="63">'317'!$D$28:$M$28</definedName>
    <definedName name="OSRRefD11_17x" localSheetId="59">'326'!$D$28:$M$28</definedName>
    <definedName name="OSRRefD11_17x" localSheetId="57">'331'!$D$28:$M$28</definedName>
    <definedName name="OSRRefD11_17x" localSheetId="47">'Div 3'!$D$28:$M$28</definedName>
    <definedName name="OSRRefD11_17x" localSheetId="62">'Div 6'!$D$28:$M$28</definedName>
    <definedName name="OSRRefD11_17x" localSheetId="2">Summary!$D$28:$M$28</definedName>
    <definedName name="OSRRefD11_18x" localSheetId="48">'300'!$D$29:$M$29</definedName>
    <definedName name="OSRRefD11_18x" localSheetId="49">'300 &amp; 317'!$D$29:$M$29</definedName>
    <definedName name="OSRRefD11_18x" localSheetId="54">'308'!$D$29:$M$29</definedName>
    <definedName name="OSRRefD11_18x" localSheetId="55">'311'!$D$29:$M$29</definedName>
    <definedName name="OSRRefD11_18x" localSheetId="58">'315'!$D$29:$M$29</definedName>
    <definedName name="OSRRefD11_18x" localSheetId="63">'317'!$D$29:$M$29</definedName>
    <definedName name="OSRRefD11_18x" localSheetId="59">'326'!$D$29:$M$29</definedName>
    <definedName name="OSRRefD11_18x" localSheetId="57">'331'!$D$29:$M$29</definedName>
    <definedName name="OSRRefD11_18x" localSheetId="47">'Div 3'!$D$29:$M$29</definedName>
    <definedName name="OSRRefD11_18x" localSheetId="62">'Div 6'!$D$29:$M$29</definedName>
    <definedName name="OSRRefD11_18x" localSheetId="2">Summary!$D$29:$M$29</definedName>
    <definedName name="OSRRefD11_19x" localSheetId="48">'300'!$D$30:$M$30</definedName>
    <definedName name="OSRRefD11_19x" localSheetId="49">'300 &amp; 317'!$D$30:$M$30</definedName>
    <definedName name="OSRRefD11_19x" localSheetId="54">'308'!$D$30:$M$30</definedName>
    <definedName name="OSRRefD11_19x" localSheetId="55">'311'!$D$30:$M$30</definedName>
    <definedName name="OSRRefD11_19x" localSheetId="58">'315'!$D$30:$M$30</definedName>
    <definedName name="OSRRefD11_19x" localSheetId="59">'326'!$D$30:$M$30</definedName>
    <definedName name="OSRRefD11_19x" localSheetId="57">'331'!$D$30:$M$30</definedName>
    <definedName name="OSRRefD11_19x" localSheetId="47">'Div 3'!$D$30:$M$30</definedName>
    <definedName name="OSRRefD11_19x" localSheetId="2">Summary!$D$30:$M$30</definedName>
    <definedName name="OSRRefD11_1x" localSheetId="48">'300'!$D$12:$M$12</definedName>
    <definedName name="OSRRefD11_1x" localSheetId="49">'300 &amp; 317'!$D$12:$M$12</definedName>
    <definedName name="OSRRefD11_1x" localSheetId="53">'307'!$D$12:$M$12</definedName>
    <definedName name="OSRRefD11_1x" localSheetId="54">'308'!$D$12:$M$12</definedName>
    <definedName name="OSRRefD11_1x" localSheetId="64">'310'!$D$12:$M$12</definedName>
    <definedName name="OSRRefD11_1x" localSheetId="72">'310 &amp; 491'!$D$12:$M$12</definedName>
    <definedName name="OSRRefD11_1x" localSheetId="55">'311'!$D$12:$M$12</definedName>
    <definedName name="OSRRefD11_1x" localSheetId="66">'313'!$D$12:$M$12</definedName>
    <definedName name="OSRRefD11_1x" localSheetId="58">'315'!$D$12:$M$12</definedName>
    <definedName name="OSRRefD11_1x" localSheetId="61">'316'!$D$12:$M$12</definedName>
    <definedName name="OSRRefD11_1x" localSheetId="63">'317'!$D$12:$M$12</definedName>
    <definedName name="OSRRefD11_1x" localSheetId="67">'321'!$D$12:$M$12</definedName>
    <definedName name="OSRRefD11_1x" localSheetId="56">'324'!$D$12:$M$12</definedName>
    <definedName name="OSRRefD11_1x" localSheetId="59">'326'!$D$12:$M$12</definedName>
    <definedName name="OSRRefD11_1x" localSheetId="70">'327'!$D$12:$M$12</definedName>
    <definedName name="OSRRefD11_1x" localSheetId="52">'330'!$D$12:$M$12</definedName>
    <definedName name="OSRRefD11_1x" localSheetId="57">'331'!$D$12:$M$12</definedName>
    <definedName name="OSRRefD11_1x" localSheetId="60">'332'!$D$12:$M$12</definedName>
    <definedName name="OSRRefD11_1x" localSheetId="74">'405'!$D$12:$M$12</definedName>
    <definedName name="OSRRefD11_1x" localSheetId="78">'413'!$D$12:$M$12</definedName>
    <definedName name="OSRRefD11_1x" localSheetId="79">'414'!$D$12:$M$12</definedName>
    <definedName name="OSRRefD11_1x" localSheetId="80">'415'!$D$12:$M$12</definedName>
    <definedName name="OSRRefD11_1x" localSheetId="81">'418'!$D$12:$M$12</definedName>
    <definedName name="OSRRefD11_1x" localSheetId="82">'420'!$D$12:$M$12</definedName>
    <definedName name="OSRRefD11_1x" localSheetId="89">'433'!$D$12:$M$12</definedName>
    <definedName name="OSRRefD11_1x" localSheetId="91">'444'!$D$12:$M$12</definedName>
    <definedName name="OSRRefD11_1x" localSheetId="92">'450'!$D$12:$M$12</definedName>
    <definedName name="OSRRefD11_1x" localSheetId="73">'491'!$D$12:$M$12</definedName>
    <definedName name="OSRRefD11_1x" localSheetId="87">'492'!$D$12:$M$12</definedName>
    <definedName name="OSRRefD11_1x" localSheetId="94">'501'!$D$12:$M$12</definedName>
    <definedName name="OSRRefD11_1x" localSheetId="47">'Div 3'!$D$12:$M$12</definedName>
    <definedName name="OSRRefD11_1x" localSheetId="71">'Div 4'!$D$12:$M$12</definedName>
    <definedName name="OSRRefD11_1x" localSheetId="93">'Div 5'!$D$12:$M$12</definedName>
    <definedName name="OSRRefD11_1x" localSheetId="62">'Div 6'!$D$12:$M$12</definedName>
    <definedName name="OSRRefD11_1x" localSheetId="2">Summary!$D$12:$M$12</definedName>
    <definedName name="OSRRefD11_20x" localSheetId="48">'300'!$D$31:$M$31</definedName>
    <definedName name="OSRRefD11_20x" localSheetId="49">'300 &amp; 317'!$D$31:$M$31</definedName>
    <definedName name="OSRRefD11_20x" localSheetId="54">'308'!$D$31:$M$31</definedName>
    <definedName name="OSRRefD11_20x" localSheetId="55">'311'!$D$31:$M$31</definedName>
    <definedName name="OSRRefD11_20x" localSheetId="58">'315'!$D$31:$M$31</definedName>
    <definedName name="OSRRefD11_20x" localSheetId="59">'326'!$D$31:$M$31</definedName>
    <definedName name="OSRRefD11_20x" localSheetId="57">'331'!$D$31:$M$31</definedName>
    <definedName name="OSRRefD11_20x" localSheetId="47">'Div 3'!$D$31:$M$31</definedName>
    <definedName name="OSRRefD11_20x" localSheetId="2">Summary!$D$31:$M$31</definedName>
    <definedName name="OSRRefD11_21x" localSheetId="48">'300'!$D$32:$M$32</definedName>
    <definedName name="OSRRefD11_21x" localSheetId="49">'300 &amp; 317'!$D$32:$M$32</definedName>
    <definedName name="OSRRefD11_21x" localSheetId="54">'308'!$D$32:$M$32</definedName>
    <definedName name="OSRRefD11_21x" localSheetId="55">'311'!$D$32:$M$32</definedName>
    <definedName name="OSRRefD11_21x" localSheetId="58">'315'!$D$32:$M$32</definedName>
    <definedName name="OSRRefD11_21x" localSheetId="57">'331'!$D$32:$M$32</definedName>
    <definedName name="OSRRefD11_21x" localSheetId="47">'Div 3'!$D$32:$M$32</definedName>
    <definedName name="OSRRefD11_21x" localSheetId="2">Summary!$D$32:$M$32</definedName>
    <definedName name="OSRRefD11_22x" localSheetId="48">'300'!$D$33:$M$33</definedName>
    <definedName name="OSRRefD11_22x" localSheetId="49">'300 &amp; 317'!$D$33:$M$33</definedName>
    <definedName name="OSRRefD11_22x" localSheetId="54">'308'!$D$33:$M$33</definedName>
    <definedName name="OSRRefD11_22x" localSheetId="58">'315'!$D$33:$M$33</definedName>
    <definedName name="OSRRefD11_22x" localSheetId="57">'331'!$D$33:$M$33</definedName>
    <definedName name="OSRRefD11_22x" localSheetId="47">'Div 3'!$D$33:$M$33</definedName>
    <definedName name="OSRRefD11_22x" localSheetId="2">Summary!$D$33:$M$33</definedName>
    <definedName name="OSRRefD11_23x" localSheetId="48">'300'!$D$34:$M$34</definedName>
    <definedName name="OSRRefD11_23x" localSheetId="49">'300 &amp; 317'!$D$34:$M$34</definedName>
    <definedName name="OSRRefD11_23x" localSheetId="58">'315'!$D$34:$M$34</definedName>
    <definedName name="OSRRefD11_23x" localSheetId="57">'331'!$D$34:$M$34</definedName>
    <definedName name="OSRRefD11_23x" localSheetId="47">'Div 3'!$D$34:$M$34</definedName>
    <definedName name="OSRRefD11_23x" localSheetId="2">Summary!$D$34:$M$34</definedName>
    <definedName name="OSRRefD11_24x" localSheetId="48">'300'!$D$35:$M$35</definedName>
    <definedName name="OSRRefD11_24x" localSheetId="49">'300 &amp; 317'!$D$35:$M$35</definedName>
    <definedName name="OSRRefD11_24x" localSheetId="58">'315'!$D$35:$M$35</definedName>
    <definedName name="OSRRefD11_24x" localSheetId="57">'331'!$D$35:$M$35</definedName>
    <definedName name="OSRRefD11_24x" localSheetId="47">'Div 3'!$D$35:$M$35</definedName>
    <definedName name="OSRRefD11_24x" localSheetId="2">Summary!$D$35:$M$35</definedName>
    <definedName name="OSRRefD11_25x" localSheetId="48">'300'!$D$36:$M$36</definedName>
    <definedName name="OSRRefD11_25x" localSheetId="49">'300 &amp; 317'!$D$36:$M$36</definedName>
    <definedName name="OSRRefD11_25x" localSheetId="58">'315'!$D$36:$M$36</definedName>
    <definedName name="OSRRefD11_25x" localSheetId="57">'331'!$D$36:$M$36</definedName>
    <definedName name="OSRRefD11_25x" localSheetId="47">'Div 3'!$D$36:$M$36</definedName>
    <definedName name="OSRRefD11_25x" localSheetId="2">Summary!$D$36:$M$36</definedName>
    <definedName name="OSRRefD11_26x" localSheetId="48">'300'!$D$37:$M$37</definedName>
    <definedName name="OSRRefD11_26x" localSheetId="49">'300 &amp; 317'!$D$37:$M$37</definedName>
    <definedName name="OSRRefD11_26x" localSheetId="58">'315'!$D$37:$M$37</definedName>
    <definedName name="OSRRefD11_26x" localSheetId="57">'331'!$D$37:$M$37</definedName>
    <definedName name="OSRRefD11_26x" localSheetId="47">'Div 3'!$D$37:$M$37</definedName>
    <definedName name="OSRRefD11_26x" localSheetId="2">Summary!$D$37:$M$37</definedName>
    <definedName name="OSRRefD11_27x" localSheetId="48">'300'!$D$38:$M$38</definedName>
    <definedName name="OSRRefD11_27x" localSheetId="49">'300 &amp; 317'!$D$38:$M$38</definedName>
    <definedName name="OSRRefD11_27x" localSheetId="58">'315'!$D$38:$M$38</definedName>
    <definedName name="OSRRefD11_27x" localSheetId="57">'331'!$D$38:$M$38</definedName>
    <definedName name="OSRRefD11_27x" localSheetId="47">'Div 3'!$D$38:$M$38</definedName>
    <definedName name="OSRRefD11_27x" localSheetId="2">Summary!$D$38:$M$38</definedName>
    <definedName name="OSRRefD11_28x" localSheetId="48">'300'!$D$39:$M$39</definedName>
    <definedName name="OSRRefD11_28x" localSheetId="49">'300 &amp; 317'!$D$39:$M$39</definedName>
    <definedName name="OSRRefD11_28x" localSheetId="58">'315'!$D$39:$M$39</definedName>
    <definedName name="OSRRefD11_28x" localSheetId="57">'331'!$D$39:$M$39</definedName>
    <definedName name="OSRRefD11_28x" localSheetId="47">'Div 3'!$D$39:$M$39</definedName>
    <definedName name="OSRRefD11_28x" localSheetId="2">Summary!$D$39:$M$39</definedName>
    <definedName name="OSRRefD11_29x" localSheetId="48">'300'!$D$40:$M$40</definedName>
    <definedName name="OSRRefD11_29x" localSheetId="49">'300 &amp; 317'!$D$40:$M$40</definedName>
    <definedName name="OSRRefD11_29x" localSheetId="58">'315'!$D$40:$M$40</definedName>
    <definedName name="OSRRefD11_29x" localSheetId="57">'331'!$D$40:$M$40</definedName>
    <definedName name="OSRRefD11_29x" localSheetId="47">'Div 3'!$D$40:$M$40</definedName>
    <definedName name="OSRRefD11_29x" localSheetId="2">Summary!$D$40:$M$40</definedName>
    <definedName name="OSRRefD11_2x" localSheetId="48">'300'!$D$13:$M$13</definedName>
    <definedName name="OSRRefD11_2x" localSheetId="49">'300 &amp; 317'!$D$13:$M$13</definedName>
    <definedName name="OSRRefD11_2x" localSheetId="53">'307'!$D$13:$M$13</definedName>
    <definedName name="OSRRefD11_2x" localSheetId="54">'308'!$D$13:$M$13</definedName>
    <definedName name="OSRRefD11_2x" localSheetId="64">'310'!$D$13:$M$13</definedName>
    <definedName name="OSRRefD11_2x" localSheetId="72">'310 &amp; 491'!$D$13:$M$13</definedName>
    <definedName name="OSRRefD11_2x" localSheetId="55">'311'!$D$13:$M$13</definedName>
    <definedName name="OSRRefD11_2x" localSheetId="66">'313'!$D$13:$M$13</definedName>
    <definedName name="OSRRefD11_2x" localSheetId="58">'315'!$D$13:$M$13</definedName>
    <definedName name="OSRRefD11_2x" localSheetId="61">'316'!$D$13:$M$13</definedName>
    <definedName name="OSRRefD11_2x" localSheetId="63">'317'!$D$13:$M$13</definedName>
    <definedName name="OSRRefD11_2x" localSheetId="56">'324'!$D$13:$M$13</definedName>
    <definedName name="OSRRefD11_2x" localSheetId="59">'326'!$D$13:$M$13</definedName>
    <definedName name="OSRRefD11_2x" localSheetId="52">'330'!$D$13:$M$13</definedName>
    <definedName name="OSRRefD11_2x" localSheetId="57">'331'!$D$13:$M$13</definedName>
    <definedName name="OSRRefD11_2x" localSheetId="60">'332'!$D$13:$M$13</definedName>
    <definedName name="OSRRefD11_2x" localSheetId="79">'414'!$D$13:$M$13</definedName>
    <definedName name="OSRRefD11_2x" localSheetId="80">'415'!$D$13:$M$13</definedName>
    <definedName name="OSRRefD11_2x" localSheetId="89">'433'!$D$13:$M$13</definedName>
    <definedName name="OSRRefD11_2x" localSheetId="91">'444'!$D$13:$M$13</definedName>
    <definedName name="OSRRefD11_2x" localSheetId="73">'491'!$D$13:$M$13</definedName>
    <definedName name="OSRRefD11_2x" localSheetId="87">'492'!$D$13:$M$13</definedName>
    <definedName name="OSRRefD11_2x" localSheetId="47">'Div 3'!$D$13:$M$13</definedName>
    <definedName name="OSRRefD11_2x" localSheetId="71">'Div 4'!$D$13:$M$13</definedName>
    <definedName name="OSRRefD11_2x" localSheetId="62">'Div 6'!$D$13:$M$13</definedName>
    <definedName name="OSRRefD11_2x" localSheetId="2">Summary!$D$13:$M$13</definedName>
    <definedName name="OSRRefD11_30x" localSheetId="48">'300'!$D$41:$M$41</definedName>
    <definedName name="OSRRefD11_30x" localSheetId="49">'300 &amp; 317'!$D$41:$M$41</definedName>
    <definedName name="OSRRefD11_30x" localSheetId="58">'315'!$D$41:$M$41</definedName>
    <definedName name="OSRRefD11_30x" localSheetId="57">'331'!$D$41:$M$41</definedName>
    <definedName name="OSRRefD11_30x" localSheetId="47">'Div 3'!$D$41:$M$41</definedName>
    <definedName name="OSRRefD11_30x" localSheetId="2">Summary!$D$41:$M$41</definedName>
    <definedName name="OSRRefD11_31x" localSheetId="48">'300'!$D$42:$M$42</definedName>
    <definedName name="OSRRefD11_31x" localSheetId="49">'300 &amp; 317'!$D$42:$M$42</definedName>
    <definedName name="OSRRefD11_31x" localSheetId="58">'315'!$D$42:$M$42</definedName>
    <definedName name="OSRRefD11_31x" localSheetId="57">'331'!$D$42:$M$42</definedName>
    <definedName name="OSRRefD11_31x" localSheetId="47">'Div 3'!$D$42:$M$42</definedName>
    <definedName name="OSRRefD11_31x" localSheetId="2">Summary!$D$42:$M$42</definedName>
    <definedName name="OSRRefD11_32x" localSheetId="48">'300'!$D$43:$M$43</definedName>
    <definedName name="OSRRefD11_32x" localSheetId="49">'300 &amp; 317'!$D$43:$M$43</definedName>
    <definedName name="OSRRefD11_32x" localSheetId="58">'315'!$D$43:$M$43</definedName>
    <definedName name="OSRRefD11_32x" localSheetId="57">'331'!$D$43:$M$43</definedName>
    <definedName name="OSRRefD11_32x" localSheetId="47">'Div 3'!$D$43:$M$43</definedName>
    <definedName name="OSRRefD11_32x" localSheetId="2">Summary!$D$43:$M$43</definedName>
    <definedName name="OSRRefD11_33x" localSheetId="48">'300'!$D$44:$M$44</definedName>
    <definedName name="OSRRefD11_33x" localSheetId="49">'300 &amp; 317'!$D$44:$M$44</definedName>
    <definedName name="OSRRefD11_33x" localSheetId="58">'315'!$D$44:$M$44</definedName>
    <definedName name="OSRRefD11_33x" localSheetId="57">'331'!$D$44:$M$44</definedName>
    <definedName name="OSRRefD11_33x" localSheetId="47">'Div 3'!$D$44:$M$44</definedName>
    <definedName name="OSRRefD11_33x" localSheetId="2">Summary!$D$44:$M$44</definedName>
    <definedName name="OSRRefD11_34x" localSheetId="48">'300'!$D$45:$M$45</definedName>
    <definedName name="OSRRefD11_34x" localSheetId="49">'300 &amp; 317'!$D$45:$M$45</definedName>
    <definedName name="OSRRefD11_34x" localSheetId="58">'315'!$D$45:$M$45</definedName>
    <definedName name="OSRRefD11_34x" localSheetId="57">'331'!$D$45:$M$45</definedName>
    <definedName name="OSRRefD11_34x" localSheetId="47">'Div 3'!$D$45:$M$45</definedName>
    <definedName name="OSRRefD11_34x" localSheetId="2">Summary!$D$45:$M$45</definedName>
    <definedName name="OSRRefD11_35x" localSheetId="48">'300'!$D$46:$M$46</definedName>
    <definedName name="OSRRefD11_35x" localSheetId="49">'300 &amp; 317'!$D$46:$M$46</definedName>
    <definedName name="OSRRefD11_35x" localSheetId="58">'315'!$D$46:$M$46</definedName>
    <definedName name="OSRRefD11_35x" localSheetId="57">'331'!$D$46:$M$46</definedName>
    <definedName name="OSRRefD11_35x" localSheetId="47">'Div 3'!$D$46:$M$46</definedName>
    <definedName name="OSRRefD11_35x" localSheetId="2">Summary!$D$46:$M$46</definedName>
    <definedName name="OSRRefD11_36x" localSheetId="48">'300'!$D$47:$M$47</definedName>
    <definedName name="OSRRefD11_36x" localSheetId="49">'300 &amp; 317'!$D$47:$M$47</definedName>
    <definedName name="OSRRefD11_36x" localSheetId="58">'315'!$D$47:$M$47</definedName>
    <definedName name="OSRRefD11_36x" localSheetId="57">'331'!$D$47:$M$47</definedName>
    <definedName name="OSRRefD11_36x" localSheetId="47">'Div 3'!$D$47:$M$47</definedName>
    <definedName name="OSRRefD11_36x" localSheetId="2">Summary!$D$47:$M$47</definedName>
    <definedName name="OSRRefD11_37x" localSheetId="48">'300'!$D$48:$M$48</definedName>
    <definedName name="OSRRefD11_37x" localSheetId="49">'300 &amp; 317'!$D$48:$M$48</definedName>
    <definedName name="OSRRefD11_37x" localSheetId="58">'315'!$D$48:$M$48</definedName>
    <definedName name="OSRRefD11_37x" localSheetId="57">'331'!$D$48:$M$48</definedName>
    <definedName name="OSRRefD11_37x" localSheetId="47">'Div 3'!$D$48:$M$48</definedName>
    <definedName name="OSRRefD11_37x" localSheetId="2">Summary!$D$48:$M$48</definedName>
    <definedName name="OSRRefD11_38x" localSheetId="48">'300'!$D$49:$M$49</definedName>
    <definedName name="OSRRefD11_38x" localSheetId="49">'300 &amp; 317'!$D$49:$M$49</definedName>
    <definedName name="OSRRefD11_38x" localSheetId="47">'Div 3'!$D$49:$M$49</definedName>
    <definedName name="OSRRefD11_38x" localSheetId="2">Summary!$D$49:$M$49</definedName>
    <definedName name="OSRRefD11_39x" localSheetId="48">'300'!$D$50:$M$50</definedName>
    <definedName name="OSRRefD11_39x" localSheetId="49">'300 &amp; 317'!$D$50:$M$50</definedName>
    <definedName name="OSRRefD11_39x" localSheetId="47">'Div 3'!$D$50:$M$50</definedName>
    <definedName name="OSRRefD11_39x" localSheetId="2">Summary!$D$50:$M$50</definedName>
    <definedName name="OSRRefD11_3x" localSheetId="48">'300'!$D$14:$M$14</definedName>
    <definedName name="OSRRefD11_3x" localSheetId="49">'300 &amp; 317'!$D$14:$M$14</definedName>
    <definedName name="OSRRefD11_3x" localSheetId="53">'307'!$D$14:$M$14</definedName>
    <definedName name="OSRRefD11_3x" localSheetId="54">'308'!$D$14:$M$14</definedName>
    <definedName name="OSRRefD11_3x" localSheetId="64">'310'!$D$14:$M$14</definedName>
    <definedName name="OSRRefD11_3x" localSheetId="72">'310 &amp; 491'!$D$14:$M$14</definedName>
    <definedName name="OSRRefD11_3x" localSheetId="55">'311'!$D$14:$M$14</definedName>
    <definedName name="OSRRefD11_3x" localSheetId="66">'313'!$D$14:$M$14</definedName>
    <definedName name="OSRRefD11_3x" localSheetId="58">'315'!$D$14:$M$14</definedName>
    <definedName name="OSRRefD11_3x" localSheetId="61">'316'!$D$14:$M$14</definedName>
    <definedName name="OSRRefD11_3x" localSheetId="63">'317'!$D$14:$M$14</definedName>
    <definedName name="OSRRefD11_3x" localSheetId="56">'324'!$D$14:$M$14</definedName>
    <definedName name="OSRRefD11_3x" localSheetId="59">'326'!$D$14:$M$14</definedName>
    <definedName name="OSRRefD11_3x" localSheetId="52">'330'!$D$14:$M$14</definedName>
    <definedName name="OSRRefD11_3x" localSheetId="57">'331'!$D$14:$M$14</definedName>
    <definedName name="OSRRefD11_3x" localSheetId="60">'332'!$D$14:$M$14</definedName>
    <definedName name="OSRRefD11_3x" localSheetId="80">'415'!$D$14:$M$14</definedName>
    <definedName name="OSRRefD11_3x" localSheetId="89">'433'!$D$14:$M$14</definedName>
    <definedName name="OSRRefD11_3x" localSheetId="91">'444'!$D$14:$M$14</definedName>
    <definedName name="OSRRefD11_3x" localSheetId="73">'491'!$D$14:$M$14</definedName>
    <definedName name="OSRRefD11_3x" localSheetId="87">'492'!$D$14:$M$14</definedName>
    <definedName name="OSRRefD11_3x" localSheetId="47">'Div 3'!$D$14:$M$14</definedName>
    <definedName name="OSRRefD11_3x" localSheetId="71">'Div 4'!$D$14:$M$14</definedName>
    <definedName name="OSRRefD11_3x" localSheetId="62">'Div 6'!$D$14:$M$14</definedName>
    <definedName name="OSRRefD11_3x" localSheetId="2">Summary!$D$14:$M$14</definedName>
    <definedName name="OSRRefD11_40x" localSheetId="48">'300'!$D$51:$M$51</definedName>
    <definedName name="OSRRefD11_40x" localSheetId="49">'300 &amp; 317'!$D$51:$M$51</definedName>
    <definedName name="OSRRefD11_40x" localSheetId="47">'Div 3'!$D$51:$M$51</definedName>
    <definedName name="OSRRefD11_40x" localSheetId="2">Summary!$D$51:$M$51</definedName>
    <definedName name="OSRRefD11_41x" localSheetId="48">'300'!$D$52:$M$52</definedName>
    <definedName name="OSRRefD11_41x" localSheetId="49">'300 &amp; 317'!$D$52:$M$52</definedName>
    <definedName name="OSRRefD11_41x" localSheetId="47">'Div 3'!$D$52:$M$52</definedName>
    <definedName name="OSRRefD11_41x" localSheetId="2">Summary!$D$52:$M$52</definedName>
    <definedName name="OSRRefD11_42x" localSheetId="48">'300'!$D$53:$M$53</definedName>
    <definedName name="OSRRefD11_42x" localSheetId="49">'300 &amp; 317'!$D$53:$M$53</definedName>
    <definedName name="OSRRefD11_42x" localSheetId="47">'Div 3'!$D$53:$M$53</definedName>
    <definedName name="OSRRefD11_42x" localSheetId="2">Summary!$D$53:$M$53</definedName>
    <definedName name="OSRRefD11_43x" localSheetId="48">'300'!$D$54:$M$54</definedName>
    <definedName name="OSRRefD11_43x" localSheetId="49">'300 &amp; 317'!$D$54:$M$54</definedName>
    <definedName name="OSRRefD11_43x" localSheetId="47">'Div 3'!$D$54:$M$54</definedName>
    <definedName name="OSRRefD11_43x" localSheetId="2">Summary!$D$54:$M$54</definedName>
    <definedName name="OSRRefD11_44x" localSheetId="48">'300'!$D$55:$M$55</definedName>
    <definedName name="OSRRefD11_44x" localSheetId="49">'300 &amp; 317'!$D$55:$M$55</definedName>
    <definedName name="OSRRefD11_44x" localSheetId="47">'Div 3'!$D$55:$M$55</definedName>
    <definedName name="OSRRefD11_44x" localSheetId="2">Summary!$D$55:$M$55</definedName>
    <definedName name="OSRRefD11_45x" localSheetId="48">'300'!$D$56:$M$56</definedName>
    <definedName name="OSRRefD11_45x" localSheetId="49">'300 &amp; 317'!$D$56:$M$56</definedName>
    <definedName name="OSRRefD11_45x" localSheetId="47">'Div 3'!$D$56:$M$56</definedName>
    <definedName name="OSRRefD11_45x" localSheetId="2">Summary!$D$56:$M$56</definedName>
    <definedName name="OSRRefD11_46x" localSheetId="48">'300'!$D$57:$M$57</definedName>
    <definedName name="OSRRefD11_46x" localSheetId="49">'300 &amp; 317'!$D$57:$M$57</definedName>
    <definedName name="OSRRefD11_46x" localSheetId="47">'Div 3'!$D$57:$M$57</definedName>
    <definedName name="OSRRefD11_46x" localSheetId="2">Summary!$D$57:$M$57</definedName>
    <definedName name="OSRRefD11_47x" localSheetId="48">'300'!$D$58:$M$58</definedName>
    <definedName name="OSRRefD11_47x" localSheetId="49">'300 &amp; 317'!$D$58:$M$58</definedName>
    <definedName name="OSRRefD11_47x" localSheetId="47">'Div 3'!$D$58:$M$58</definedName>
    <definedName name="OSRRefD11_47x" localSheetId="2">Summary!$D$58:$M$58</definedName>
    <definedName name="OSRRefD11_48x" localSheetId="48">'300'!$D$59:$M$59</definedName>
    <definedName name="OSRRefD11_48x" localSheetId="49">'300 &amp; 317'!$D$59:$M$59</definedName>
    <definedName name="OSRRefD11_48x" localSheetId="47">'Div 3'!$D$59:$M$59</definedName>
    <definedName name="OSRRefD11_48x" localSheetId="2">Summary!$D$59:$M$59</definedName>
    <definedName name="OSRRefD11_49x" localSheetId="48">'300'!$D$60:$M$60</definedName>
    <definedName name="OSRRefD11_49x" localSheetId="49">'300 &amp; 317'!$D$60:$M$60</definedName>
    <definedName name="OSRRefD11_49x" localSheetId="47">'Div 3'!$D$60:$M$60</definedName>
    <definedName name="OSRRefD11_49x" localSheetId="2">Summary!$D$60:$M$60</definedName>
    <definedName name="OSRRefD11_4x" localSheetId="48">'300'!$D$15:$M$15</definedName>
    <definedName name="OSRRefD11_4x" localSheetId="49">'300 &amp; 317'!$D$15:$M$15</definedName>
    <definedName name="OSRRefD11_4x" localSheetId="53">'307'!$D$15:$M$15</definedName>
    <definedName name="OSRRefD11_4x" localSheetId="54">'308'!$D$15:$M$15</definedName>
    <definedName name="OSRRefD11_4x" localSheetId="64">'310'!$D$15:$M$15</definedName>
    <definedName name="OSRRefD11_4x" localSheetId="72">'310 &amp; 491'!$D$15:$M$15</definedName>
    <definedName name="OSRRefD11_4x" localSheetId="55">'311'!$D$15:$M$15</definedName>
    <definedName name="OSRRefD11_4x" localSheetId="58">'315'!$D$15:$M$15</definedName>
    <definedName name="OSRRefD11_4x" localSheetId="61">'316'!$D$15:$M$15</definedName>
    <definedName name="OSRRefD11_4x" localSheetId="63">'317'!$D$15:$M$15</definedName>
    <definedName name="OSRRefD11_4x" localSheetId="59">'326'!$D$15:$M$15</definedName>
    <definedName name="OSRRefD11_4x" localSheetId="52">'330'!$D$15:$M$15</definedName>
    <definedName name="OSRRefD11_4x" localSheetId="57">'331'!$D$15:$M$15</definedName>
    <definedName name="OSRRefD11_4x" localSheetId="60">'332'!$D$15:$M$15</definedName>
    <definedName name="OSRRefD11_4x" localSheetId="73">'491'!$D$15:$M$15</definedName>
    <definedName name="OSRRefD11_4x" localSheetId="47">'Div 3'!$D$15:$M$15</definedName>
    <definedName name="OSRRefD11_4x" localSheetId="71">'Div 4'!$D$15:$M$15</definedName>
    <definedName name="OSRRefD11_4x" localSheetId="62">'Div 6'!$D$15:$M$15</definedName>
    <definedName name="OSRRefD11_4x" localSheetId="2">Summary!$D$15:$M$15</definedName>
    <definedName name="OSRRefD11_50x" localSheetId="48">'300'!$D$61:$M$61</definedName>
    <definedName name="OSRRefD11_50x" localSheetId="49">'300 &amp; 317'!$D$61:$M$61</definedName>
    <definedName name="OSRRefD11_50x" localSheetId="47">'Div 3'!$D$61:$M$61</definedName>
    <definedName name="OSRRefD11_50x" localSheetId="2">Summary!$D$61:$M$61</definedName>
    <definedName name="OSRRefD11_51x" localSheetId="48">'300'!$D$62:$M$62</definedName>
    <definedName name="OSRRefD11_51x" localSheetId="49">'300 &amp; 317'!$D$62:$M$62</definedName>
    <definedName name="OSRRefD11_51x" localSheetId="47">'Div 3'!$D$62:$M$62</definedName>
    <definedName name="OSRRefD11_51x" localSheetId="2">Summary!$D$62:$M$62</definedName>
    <definedName name="OSRRefD11_52x" localSheetId="48">'300'!$D$63:$M$63</definedName>
    <definedName name="OSRRefD11_52x" localSheetId="49">'300 &amp; 317'!$D$63:$M$63</definedName>
    <definedName name="OSRRefD11_52x" localSheetId="47">'Div 3'!$D$63:$M$63</definedName>
    <definedName name="OSRRefD11_52x" localSheetId="2">Summary!$D$63:$M$63</definedName>
    <definedName name="OSRRefD11_53x" localSheetId="48">'300'!$D$64:$M$64</definedName>
    <definedName name="OSRRefD11_53x" localSheetId="49">'300 &amp; 317'!$D$64:$M$64</definedName>
    <definedName name="OSRRefD11_53x" localSheetId="47">'Div 3'!$D$64:$M$64</definedName>
    <definedName name="OSRRefD11_53x" localSheetId="2">Summary!$D$64:$M$64</definedName>
    <definedName name="OSRRefD11_54x" localSheetId="48">'300'!$D$65:$M$65</definedName>
    <definedName name="OSRRefD11_54x" localSheetId="49">'300 &amp; 317'!$D$65:$M$65</definedName>
    <definedName name="OSRRefD11_54x" localSheetId="47">'Div 3'!$D$65:$M$65</definedName>
    <definedName name="OSRRefD11_54x" localSheetId="2">Summary!$D$65:$M$65</definedName>
    <definedName name="OSRRefD11_55x" localSheetId="48">'300'!$D$66:$M$66</definedName>
    <definedName name="OSRRefD11_55x" localSheetId="49">'300 &amp; 317'!$D$66:$M$66</definedName>
    <definedName name="OSRRefD11_55x" localSheetId="47">'Div 3'!$D$66:$M$66</definedName>
    <definedName name="OSRRefD11_55x" localSheetId="2">Summary!$D$66:$M$66</definedName>
    <definedName name="OSRRefD11_56x" localSheetId="48">'300'!$D$67:$M$67</definedName>
    <definedName name="OSRRefD11_56x" localSheetId="49">'300 &amp; 317'!$D$67:$M$67</definedName>
    <definedName name="OSRRefD11_56x" localSheetId="47">'Div 3'!$D$67:$M$67</definedName>
    <definedName name="OSRRefD11_56x" localSheetId="2">Summary!$D$67:$M$67</definedName>
    <definedName name="OSRRefD11_57x" localSheetId="48">'300'!$D$68:$M$68</definedName>
    <definedName name="OSRRefD11_57x" localSheetId="49">'300 &amp; 317'!$D$68:$M$68</definedName>
    <definedName name="OSRRefD11_57x" localSheetId="47">'Div 3'!$D$68:$M$68</definedName>
    <definedName name="OSRRefD11_57x" localSheetId="2">Summary!$D$68:$M$68</definedName>
    <definedName name="OSRRefD11_58x" localSheetId="48">'300'!$D$69:$M$69</definedName>
    <definedName name="OSRRefD11_58x" localSheetId="49">'300 &amp; 317'!$D$69:$M$69</definedName>
    <definedName name="OSRRefD11_58x" localSheetId="47">'Div 3'!$D$69:$M$69</definedName>
    <definedName name="OSRRefD11_58x" localSheetId="2">Summary!$D$69:$M$69</definedName>
    <definedName name="OSRRefD11_59x" localSheetId="48">'300'!$D$70:$M$70</definedName>
    <definedName name="OSRRefD11_59x" localSheetId="49">'300 &amp; 317'!$D$70:$M$70</definedName>
    <definedName name="OSRRefD11_59x" localSheetId="47">'Div 3'!$D$70:$M$70</definedName>
    <definedName name="OSRRefD11_59x" localSheetId="2">Summary!$D$70:$M$70</definedName>
    <definedName name="OSRRefD11_5x" localSheetId="48">'300'!$D$16:$M$16</definedName>
    <definedName name="OSRRefD11_5x" localSheetId="49">'300 &amp; 317'!$D$16:$M$16</definedName>
    <definedName name="OSRRefD11_5x" localSheetId="53">'307'!$D$16:$M$16</definedName>
    <definedName name="OSRRefD11_5x" localSheetId="54">'308'!$D$16:$M$16</definedName>
    <definedName name="OSRRefD11_5x" localSheetId="64">'310'!$D$16:$M$16</definedName>
    <definedName name="OSRRefD11_5x" localSheetId="72">'310 &amp; 491'!$D$16:$M$16</definedName>
    <definedName name="OSRRefD11_5x" localSheetId="55">'311'!$D$16:$M$16</definedName>
    <definedName name="OSRRefD11_5x" localSheetId="58">'315'!$D$16:$M$16</definedName>
    <definedName name="OSRRefD11_5x" localSheetId="61">'316'!$D$16:$M$16</definedName>
    <definedName name="OSRRefD11_5x" localSheetId="63">'317'!$D$16:$M$16</definedName>
    <definedName name="OSRRefD11_5x" localSheetId="59">'326'!$D$16:$M$16</definedName>
    <definedName name="OSRRefD11_5x" localSheetId="52">'330'!$D$16:$M$16</definedName>
    <definedName name="OSRRefD11_5x" localSheetId="57">'331'!$D$16:$M$16</definedName>
    <definedName name="OSRRefD11_5x" localSheetId="60">'332'!$D$16:$M$16</definedName>
    <definedName name="OSRRefD11_5x" localSheetId="73">'491'!$D$16:$M$16</definedName>
    <definedName name="OSRRefD11_5x" localSheetId="47">'Div 3'!$D$16:$M$16</definedName>
    <definedName name="OSRRefD11_5x" localSheetId="71">'Div 4'!$D$16:$M$16</definedName>
    <definedName name="OSRRefD11_5x" localSheetId="62">'Div 6'!$D$16:$M$16</definedName>
    <definedName name="OSRRefD11_5x" localSheetId="2">Summary!$D$16:$M$16</definedName>
    <definedName name="OSRRefD11_60x" localSheetId="48">'300'!$D$71:$M$71</definedName>
    <definedName name="OSRRefD11_60x" localSheetId="49">'300 &amp; 317'!$D$71:$M$71</definedName>
    <definedName name="OSRRefD11_60x" localSheetId="47">'Div 3'!$D$71:$M$71</definedName>
    <definedName name="OSRRefD11_60x" localSheetId="2">Summary!$D$71:$M$71</definedName>
    <definedName name="OSRRefD11_61x" localSheetId="48">'300'!$D$72:$M$72</definedName>
    <definedName name="OSRRefD11_61x" localSheetId="49">'300 &amp; 317'!$D$72:$M$72</definedName>
    <definedName name="OSRRefD11_61x" localSheetId="47">'Div 3'!$D$72:$M$72</definedName>
    <definedName name="OSRRefD11_61x" localSheetId="2">Summary!$D$72:$M$72</definedName>
    <definedName name="OSRRefD11_62x" localSheetId="48">'300'!$D$73:$M$73</definedName>
    <definedName name="OSRRefD11_62x" localSheetId="49">'300 &amp; 317'!$D$73:$M$73</definedName>
    <definedName name="OSRRefD11_62x" localSheetId="47">'Div 3'!$D$73:$M$73</definedName>
    <definedName name="OSRRefD11_62x" localSheetId="2">Summary!$D$73:$M$73</definedName>
    <definedName name="OSRRefD11_63x" localSheetId="48">'300'!$D$74:$M$74</definedName>
    <definedName name="OSRRefD11_63x" localSheetId="49">'300 &amp; 317'!$D$74:$M$74</definedName>
    <definedName name="OSRRefD11_63x" localSheetId="47">'Div 3'!$D$74:$M$74</definedName>
    <definedName name="OSRRefD11_63x" localSheetId="2">Summary!$D$74:$M$74</definedName>
    <definedName name="OSRRefD11_64x" localSheetId="48">'300'!$D$75:$M$75</definedName>
    <definedName name="OSRRefD11_64x" localSheetId="49">'300 &amp; 317'!$D$75:$M$75</definedName>
    <definedName name="OSRRefD11_64x" localSheetId="47">'Div 3'!$D$75:$M$75</definedName>
    <definedName name="OSRRefD11_64x" localSheetId="2">Summary!$D$75:$M$75</definedName>
    <definedName name="OSRRefD11_65x" localSheetId="49">'300 &amp; 317'!$D$76:$M$76</definedName>
    <definedName name="OSRRefD11_65x" localSheetId="47">'Div 3'!$D$76:$M$76</definedName>
    <definedName name="OSRRefD11_65x" localSheetId="2">Summary!$D$76:$M$76</definedName>
    <definedName name="OSRRefD11_66x" localSheetId="49">'300 &amp; 317'!$D$77:$M$77</definedName>
    <definedName name="OSRRefD11_66x" localSheetId="47">'Div 3'!$D$77:$M$77</definedName>
    <definedName name="OSRRefD11_66x" localSheetId="2">Summary!$D$77:$M$77</definedName>
    <definedName name="OSRRefD11_67x" localSheetId="49">'300 &amp; 317'!$D$78:$M$78</definedName>
    <definedName name="OSRRefD11_67x" localSheetId="2">Summary!$D$78:$M$78</definedName>
    <definedName name="OSRRefD11_68x" localSheetId="49">'300 &amp; 317'!$D$79:$M$79</definedName>
    <definedName name="OSRRefD11_68x" localSheetId="2">Summary!$D$79:$M$79</definedName>
    <definedName name="OSRRefD11_69x" localSheetId="49">'300 &amp; 317'!$D$80:$M$80</definedName>
    <definedName name="OSRRefD11_69x" localSheetId="2">Summary!$D$80:$M$80</definedName>
    <definedName name="OSRRefD11_6x" localSheetId="48">'300'!$D$17:$M$17</definedName>
    <definedName name="OSRRefD11_6x" localSheetId="49">'300 &amp; 317'!$D$17:$M$17</definedName>
    <definedName name="OSRRefD11_6x" localSheetId="53">'307'!$D$17:$M$17</definedName>
    <definedName name="OSRRefD11_6x" localSheetId="54">'308'!$D$17:$M$17</definedName>
    <definedName name="OSRRefD11_6x" localSheetId="64">'310'!$D$17:$M$17</definedName>
    <definedName name="OSRRefD11_6x" localSheetId="72">'310 &amp; 491'!$D$17:$M$17</definedName>
    <definedName name="OSRRefD11_6x" localSheetId="55">'311'!$D$17:$M$17</definedName>
    <definedName name="OSRRefD11_6x" localSheetId="58">'315'!$D$17:$M$17</definedName>
    <definedName name="OSRRefD11_6x" localSheetId="61">'316'!$D$17:$M$17</definedName>
    <definedName name="OSRRefD11_6x" localSheetId="63">'317'!$D$17:$M$17</definedName>
    <definedName name="OSRRefD11_6x" localSheetId="59">'326'!$D$17:$M$17</definedName>
    <definedName name="OSRRefD11_6x" localSheetId="52">'330'!$D$17:$M$17</definedName>
    <definedName name="OSRRefD11_6x" localSheetId="57">'331'!$D$17:$M$17</definedName>
    <definedName name="OSRRefD11_6x" localSheetId="60">'332'!$D$17:$M$17</definedName>
    <definedName name="OSRRefD11_6x" localSheetId="73">'491'!$D$17:$M$17</definedName>
    <definedName name="OSRRefD11_6x" localSheetId="47">'Div 3'!$D$17:$M$17</definedName>
    <definedName name="OSRRefD11_6x" localSheetId="71">'Div 4'!$D$17:$M$17</definedName>
    <definedName name="OSRRefD11_6x" localSheetId="62">'Div 6'!$D$17:$M$17</definedName>
    <definedName name="OSRRefD11_6x" localSheetId="2">Summary!$D$17:$M$17</definedName>
    <definedName name="OSRRefD11_70x" localSheetId="49">'300 &amp; 317'!$D$81:$M$81</definedName>
    <definedName name="OSRRefD11_70x" localSheetId="2">Summary!$D$81:$M$81</definedName>
    <definedName name="OSRRefD11_71x" localSheetId="49">'300 &amp; 317'!$D$82:$M$82</definedName>
    <definedName name="OSRRefD11_71x" localSheetId="2">Summary!$D$82:$M$82</definedName>
    <definedName name="OSRRefD11_72x" localSheetId="49">'300 &amp; 317'!$D$83:$M$83</definedName>
    <definedName name="OSRRefD11_72x" localSheetId="2">Summary!$D$83:$M$83</definedName>
    <definedName name="OSRRefD11_73x" localSheetId="49">'300 &amp; 317'!$D$84:$M$84</definedName>
    <definedName name="OSRRefD11_73x" localSheetId="2">Summary!$D$84:$M$84</definedName>
    <definedName name="OSRRefD11_74x" localSheetId="49">'300 &amp; 317'!$D$85:$M$85</definedName>
    <definedName name="OSRRefD11_74x" localSheetId="2">Summary!$D$85:$M$85</definedName>
    <definedName name="OSRRefD11_75x" localSheetId="49">'300 &amp; 317'!$D$86:$M$86</definedName>
    <definedName name="OSRRefD11_75x" localSheetId="2">Summary!$D$86:$M$86</definedName>
    <definedName name="OSRRefD11_76x" localSheetId="49">'300 &amp; 317'!$D$87:$M$87</definedName>
    <definedName name="OSRRefD11_76x" localSheetId="2">Summary!$D$87:$M$87</definedName>
    <definedName name="OSRRefD11_77x" localSheetId="49">'300 &amp; 317'!$D$88:$M$88</definedName>
    <definedName name="OSRRefD11_77x" localSheetId="2">Summary!$D$88:$M$88</definedName>
    <definedName name="OSRRefD11_78x" localSheetId="49">'300 &amp; 317'!$D$89:$M$89</definedName>
    <definedName name="OSRRefD11_78x" localSheetId="2">Summary!$D$89:$M$89</definedName>
    <definedName name="OSRRefD11_79x" localSheetId="49">'300 &amp; 317'!$D$90:$M$90</definedName>
    <definedName name="OSRRefD11_79x" localSheetId="2">Summary!$D$90:$M$90</definedName>
    <definedName name="OSRRefD11_7x" localSheetId="48">'300'!$D$18:$M$18</definedName>
    <definedName name="OSRRefD11_7x" localSheetId="49">'300 &amp; 317'!$D$18:$M$18</definedName>
    <definedName name="OSRRefD11_7x" localSheetId="53">'307'!$D$18:$M$18</definedName>
    <definedName name="OSRRefD11_7x" localSheetId="54">'308'!$D$18:$M$18</definedName>
    <definedName name="OSRRefD11_7x" localSheetId="72">'310 &amp; 491'!$D$18:$M$18</definedName>
    <definedName name="OSRRefD11_7x" localSheetId="55">'311'!$D$18:$M$18</definedName>
    <definedName name="OSRRefD11_7x" localSheetId="58">'315'!$D$18:$M$18</definedName>
    <definedName name="OSRRefD11_7x" localSheetId="61">'316'!$D$18:$M$18</definedName>
    <definedName name="OSRRefD11_7x" localSheetId="63">'317'!$D$18:$M$18</definedName>
    <definedName name="OSRRefD11_7x" localSheetId="59">'326'!$D$18:$M$18</definedName>
    <definedName name="OSRRefD11_7x" localSheetId="52">'330'!$D$18:$M$18</definedName>
    <definedName name="OSRRefD11_7x" localSheetId="57">'331'!$D$18:$M$18</definedName>
    <definedName name="OSRRefD11_7x" localSheetId="60">'332'!$D$18:$M$18</definedName>
    <definedName name="OSRRefD11_7x" localSheetId="47">'Div 3'!$D$18:$M$18</definedName>
    <definedName name="OSRRefD11_7x" localSheetId="71">'Div 4'!$D$18:$M$18</definedName>
    <definedName name="OSRRefD11_7x" localSheetId="62">'Div 6'!$D$18:$M$18</definedName>
    <definedName name="OSRRefD11_7x" localSheetId="2">Summary!$D$18:$M$18</definedName>
    <definedName name="OSRRefD11_80x" localSheetId="2">Summary!$D$91:$M$91</definedName>
    <definedName name="OSRRefD11_81x" localSheetId="2">Summary!$D$92:$M$92</definedName>
    <definedName name="OSRRefD11_82x" localSheetId="2">Summary!$D$93:$M$93</definedName>
    <definedName name="OSRRefD11_83x" localSheetId="2">Summary!$D$94:$M$94</definedName>
    <definedName name="OSRRefD11_84x" localSheetId="2">Summary!$D$95:$M$95</definedName>
    <definedName name="OSRRefD11_85x" localSheetId="2">Summary!$D$96:$M$96</definedName>
    <definedName name="OSRRefD11_86x" localSheetId="2">Summary!$D$97:$M$97</definedName>
    <definedName name="OSRRefD11_87x" localSheetId="2">Summary!$D$98:$M$98</definedName>
    <definedName name="OSRRefD11_8x" localSheetId="48">'300'!$D$19:$M$19</definedName>
    <definedName name="OSRRefD11_8x" localSheetId="49">'300 &amp; 317'!$D$19:$M$19</definedName>
    <definedName name="OSRRefD11_8x" localSheetId="53">'307'!$D$19:$M$19</definedName>
    <definedName name="OSRRefD11_8x" localSheetId="54">'308'!$D$19:$M$19</definedName>
    <definedName name="OSRRefD11_8x" localSheetId="72">'310 &amp; 491'!$D$19:$M$19</definedName>
    <definedName name="OSRRefD11_8x" localSheetId="55">'311'!$D$19:$M$19</definedName>
    <definedName name="OSRRefD11_8x" localSheetId="58">'315'!$D$19:$M$19</definedName>
    <definedName name="OSRRefD11_8x" localSheetId="61">'316'!$D$19:$M$19</definedName>
    <definedName name="OSRRefD11_8x" localSheetId="63">'317'!$D$19:$M$19</definedName>
    <definedName name="OSRRefD11_8x" localSheetId="59">'326'!$D$19:$M$19</definedName>
    <definedName name="OSRRefD11_8x" localSheetId="52">'330'!$D$19:$M$19</definedName>
    <definedName name="OSRRefD11_8x" localSheetId="57">'331'!$D$19:$M$19</definedName>
    <definedName name="OSRRefD11_8x" localSheetId="60">'332'!$D$19:$M$19</definedName>
    <definedName name="OSRRefD11_8x" localSheetId="47">'Div 3'!$D$19:$M$19</definedName>
    <definedName name="OSRRefD11_8x" localSheetId="71">'Div 4'!$D$19:$M$19</definedName>
    <definedName name="OSRRefD11_8x" localSheetId="62">'Div 6'!$D$19:$M$19</definedName>
    <definedName name="OSRRefD11_8x" localSheetId="2">Summary!$D$19:$M$19</definedName>
    <definedName name="OSRRefD11_9x" localSheetId="48">'300'!$D$20:$M$20</definedName>
    <definedName name="OSRRefD11_9x" localSheetId="49">'300 &amp; 317'!$D$20:$M$20</definedName>
    <definedName name="OSRRefD11_9x" localSheetId="53">'307'!$D$20:$M$20</definedName>
    <definedName name="OSRRefD11_9x" localSheetId="54">'308'!$D$20:$M$20</definedName>
    <definedName name="OSRRefD11_9x" localSheetId="72">'310 &amp; 491'!$D$20:$M$20</definedName>
    <definedName name="OSRRefD11_9x" localSheetId="55">'311'!$D$20:$M$20</definedName>
    <definedName name="OSRRefD11_9x" localSheetId="58">'315'!$D$20:$M$20</definedName>
    <definedName name="OSRRefD11_9x" localSheetId="61">'316'!$D$20:$M$20</definedName>
    <definedName name="OSRRefD11_9x" localSheetId="63">'317'!$D$20:$M$20</definedName>
    <definedName name="OSRRefD11_9x" localSheetId="59">'326'!$D$20:$M$20</definedName>
    <definedName name="OSRRefD11_9x" localSheetId="52">'330'!$D$20:$M$20</definedName>
    <definedName name="OSRRefD11_9x" localSheetId="57">'331'!$D$20:$M$20</definedName>
    <definedName name="OSRRefD11_9x" localSheetId="60">'332'!$D$20:$M$20</definedName>
    <definedName name="OSRRefD11_9x" localSheetId="47">'Div 3'!$D$20:$M$20</definedName>
    <definedName name="OSRRefD11_9x" localSheetId="62">'Div 6'!$D$20:$M$20</definedName>
    <definedName name="OSRRefD11_9x" localSheetId="2">Summary!$D$20:$M$20</definedName>
    <definedName name="OSRRefD11x_0" localSheetId="48">'300'!$D$11:$D$75</definedName>
    <definedName name="OSRRefD11x_0" localSheetId="49">'300 &amp; 317'!$D$11:$D$90</definedName>
    <definedName name="OSRRefD11x_0" localSheetId="53">'307'!$D$11:$D$21</definedName>
    <definedName name="OSRRefD11x_0" localSheetId="54">'308'!$D$11:$D$33</definedName>
    <definedName name="OSRRefD11x_0" localSheetId="65">'309'!$D$11</definedName>
    <definedName name="OSRRefD11x_0" localSheetId="64">'310'!$D$11:$D$17</definedName>
    <definedName name="OSRRefD11x_0" localSheetId="72">'310 &amp; 491'!$D$11:$D$23</definedName>
    <definedName name="OSRRefD11x_0" localSheetId="55">'311'!$D$11:$D$32</definedName>
    <definedName name="OSRRefD11x_0" localSheetId="66">'313'!$D$11:$D$14</definedName>
    <definedName name="OSRRefD11x_0" localSheetId="58">'315'!$D$11:$D$48</definedName>
    <definedName name="OSRRefD11x_0" localSheetId="61">'316'!$D$11:$D$22</definedName>
    <definedName name="OSRRefD11x_0" localSheetId="63">'317'!$D$11:$D$29</definedName>
    <definedName name="OSRRefD11x_0" localSheetId="67">'321'!$D$11:$D$12</definedName>
    <definedName name="OSRRefD11x_0" localSheetId="68">'322'!$D$11</definedName>
    <definedName name="OSRRefD11x_0" localSheetId="56">'324'!$D$11:$D$14</definedName>
    <definedName name="OSRRefD11x_0" localSheetId="59">'326'!$D$11:$D$31</definedName>
    <definedName name="OSRRefD11x_0" localSheetId="70">'327'!$D$11:$D$12</definedName>
    <definedName name="OSRRefD11x_0" localSheetId="52">'330'!$D$11:$D$24</definedName>
    <definedName name="OSRRefD11x_0" localSheetId="57">'331'!$D$11:$D$48</definedName>
    <definedName name="OSRRefD11x_0" localSheetId="60">'332'!$D$11:$D$22</definedName>
    <definedName name="OSRRefD11x_0" localSheetId="74">'405'!$D$11:$D$12</definedName>
    <definedName name="OSRRefD11x_0" localSheetId="77">'412'!$D$11</definedName>
    <definedName name="OSRRefD11x_0" localSheetId="78">'413'!$D$11:$D$12</definedName>
    <definedName name="OSRRefD11x_0" localSheetId="79">'414'!$D$11:$D$13</definedName>
    <definedName name="OSRRefD11x_0" localSheetId="80">'415'!$D$11:$D$14</definedName>
    <definedName name="OSRRefD11x_0" localSheetId="81">'418'!$D$11:$D$12</definedName>
    <definedName name="OSRRefD11x_0" localSheetId="82">'420'!$D$11:$D$12</definedName>
    <definedName name="OSRRefD11x_0" localSheetId="89">'433'!$D$11:$D$14</definedName>
    <definedName name="OSRRefD11x_0" localSheetId="91">'444'!$D$11:$D$14</definedName>
    <definedName name="OSRRefD11x_0" localSheetId="92">'450'!$D$11:$D$12</definedName>
    <definedName name="OSRRefD11x_0" localSheetId="73">'491'!$D$11:$D$17</definedName>
    <definedName name="OSRRefD11x_0" localSheetId="87">'492'!$D$11:$D$14</definedName>
    <definedName name="OSRRefD11x_0" localSheetId="94">'501'!$D$11:$D$12</definedName>
    <definedName name="OSRRefD11x_0" localSheetId="47">'Div 3'!$D$11:$D$77</definedName>
    <definedName name="OSRRefD11x_0" localSheetId="71">'Div 4'!$D$11:$D$19</definedName>
    <definedName name="OSRRefD11x_0" localSheetId="93">'Div 5'!$D$11:$D$12</definedName>
    <definedName name="OSRRefD11x_0" localSheetId="62">'Div 6'!$D$11:$D$29</definedName>
    <definedName name="OSRRefD11x_0" localSheetId="2">Summary!$D$11:$D$98</definedName>
    <definedName name="OSRRefD11x_1" localSheetId="48">'300'!$E$11:$E$75</definedName>
    <definedName name="OSRRefD11x_1" localSheetId="49">'300 &amp; 317'!$E$11:$E$90</definedName>
    <definedName name="OSRRefD11x_1" localSheetId="53">'307'!$E$11:$E$21</definedName>
    <definedName name="OSRRefD11x_1" localSheetId="54">'308'!$E$11:$E$33</definedName>
    <definedName name="OSRRefD11x_1" localSheetId="65">'309'!$E$11</definedName>
    <definedName name="OSRRefD11x_1" localSheetId="64">'310'!$E$11:$E$17</definedName>
    <definedName name="OSRRefD11x_1" localSheetId="72">'310 &amp; 491'!$E$11:$E$23</definedName>
    <definedName name="OSRRefD11x_1" localSheetId="55">'311'!$E$11:$E$32</definedName>
    <definedName name="OSRRefD11x_1" localSheetId="66">'313'!$E$11:$E$14</definedName>
    <definedName name="OSRRefD11x_1" localSheetId="58">'315'!$E$11:$E$48</definedName>
    <definedName name="OSRRefD11x_1" localSheetId="61">'316'!$E$11:$E$22</definedName>
    <definedName name="OSRRefD11x_1" localSheetId="63">'317'!$E$11:$E$29</definedName>
    <definedName name="OSRRefD11x_1" localSheetId="67">'321'!$E$11:$E$12</definedName>
    <definedName name="OSRRefD11x_1" localSheetId="68">'322'!$E$11</definedName>
    <definedName name="OSRRefD11x_1" localSheetId="56">'324'!$E$11:$E$14</definedName>
    <definedName name="OSRRefD11x_1" localSheetId="59">'326'!$E$11:$E$31</definedName>
    <definedName name="OSRRefD11x_1" localSheetId="70">'327'!$E$11:$E$12</definedName>
    <definedName name="OSRRefD11x_1" localSheetId="52">'330'!$E$11:$E$24</definedName>
    <definedName name="OSRRefD11x_1" localSheetId="57">'331'!$E$11:$E$48</definedName>
    <definedName name="OSRRefD11x_1" localSheetId="60">'332'!$E$11:$E$22</definedName>
    <definedName name="OSRRefD11x_1" localSheetId="74">'405'!$E$11:$E$12</definedName>
    <definedName name="OSRRefD11x_1" localSheetId="77">'412'!$E$11</definedName>
    <definedName name="OSRRefD11x_1" localSheetId="78">'413'!$E$11:$E$12</definedName>
    <definedName name="OSRRefD11x_1" localSheetId="79">'414'!$E$11:$E$13</definedName>
    <definedName name="OSRRefD11x_1" localSheetId="80">'415'!$E$11:$E$14</definedName>
    <definedName name="OSRRefD11x_1" localSheetId="81">'418'!$E$11:$E$12</definedName>
    <definedName name="OSRRefD11x_1" localSheetId="82">'420'!$E$11:$E$12</definedName>
    <definedName name="OSRRefD11x_1" localSheetId="89">'433'!$E$11:$E$14</definedName>
    <definedName name="OSRRefD11x_1" localSheetId="91">'444'!$E$11:$E$14</definedName>
    <definedName name="OSRRefD11x_1" localSheetId="92">'450'!$E$11:$E$12</definedName>
    <definedName name="OSRRefD11x_1" localSheetId="73">'491'!$E$11:$E$17</definedName>
    <definedName name="OSRRefD11x_1" localSheetId="87">'492'!$E$11:$E$14</definedName>
    <definedName name="OSRRefD11x_1" localSheetId="94">'501'!$E$11:$E$12</definedName>
    <definedName name="OSRRefD11x_1" localSheetId="47">'Div 3'!$E$11:$E$77</definedName>
    <definedName name="OSRRefD11x_1" localSheetId="71">'Div 4'!$E$11:$E$19</definedName>
    <definedName name="OSRRefD11x_1" localSheetId="93">'Div 5'!$E$11:$E$12</definedName>
    <definedName name="OSRRefD11x_1" localSheetId="62">'Div 6'!$E$11:$E$29</definedName>
    <definedName name="OSRRefD11x_1" localSheetId="2">Summary!$E$11:$E$98</definedName>
    <definedName name="OSRRefD11x_2" localSheetId="48">'300'!$F$11:$F$75</definedName>
    <definedName name="OSRRefD11x_2" localSheetId="49">'300 &amp; 317'!$F$11:$F$90</definedName>
    <definedName name="OSRRefD11x_2" localSheetId="53">'307'!$F$11:$F$21</definedName>
    <definedName name="OSRRefD11x_2" localSheetId="54">'308'!$F$11:$F$33</definedName>
    <definedName name="OSRRefD11x_2" localSheetId="65">'309'!$F$11</definedName>
    <definedName name="OSRRefD11x_2" localSheetId="64">'310'!$F$11:$F$17</definedName>
    <definedName name="OSRRefD11x_2" localSheetId="72">'310 &amp; 491'!$F$11:$F$23</definedName>
    <definedName name="OSRRefD11x_2" localSheetId="55">'311'!$F$11:$F$32</definedName>
    <definedName name="OSRRefD11x_2" localSheetId="66">'313'!$F$11:$F$14</definedName>
    <definedName name="OSRRefD11x_2" localSheetId="58">'315'!$F$11:$F$48</definedName>
    <definedName name="OSRRefD11x_2" localSheetId="61">'316'!$F$11:$F$22</definedName>
    <definedName name="OSRRefD11x_2" localSheetId="63">'317'!$F$11:$F$29</definedName>
    <definedName name="OSRRefD11x_2" localSheetId="67">'321'!$F$11:$F$12</definedName>
    <definedName name="OSRRefD11x_2" localSheetId="68">'322'!$F$11</definedName>
    <definedName name="OSRRefD11x_2" localSheetId="56">'324'!$F$11:$F$14</definedName>
    <definedName name="OSRRefD11x_2" localSheetId="59">'326'!$F$11:$F$31</definedName>
    <definedName name="OSRRefD11x_2" localSheetId="70">'327'!$F$11:$F$12</definedName>
    <definedName name="OSRRefD11x_2" localSheetId="52">'330'!$F$11:$F$24</definedName>
    <definedName name="OSRRefD11x_2" localSheetId="57">'331'!$F$11:$F$48</definedName>
    <definedName name="OSRRefD11x_2" localSheetId="60">'332'!$F$11:$F$22</definedName>
    <definedName name="OSRRefD11x_2" localSheetId="74">'405'!$F$11:$F$12</definedName>
    <definedName name="OSRRefD11x_2" localSheetId="77">'412'!$F$11</definedName>
    <definedName name="OSRRefD11x_2" localSheetId="78">'413'!$F$11:$F$12</definedName>
    <definedName name="OSRRefD11x_2" localSheetId="79">'414'!$F$11:$F$13</definedName>
    <definedName name="OSRRefD11x_2" localSheetId="80">'415'!$F$11:$F$14</definedName>
    <definedName name="OSRRefD11x_2" localSheetId="81">'418'!$F$11:$F$12</definedName>
    <definedName name="OSRRefD11x_2" localSheetId="82">'420'!$F$11:$F$12</definedName>
    <definedName name="OSRRefD11x_2" localSheetId="89">'433'!$F$11:$F$14</definedName>
    <definedName name="OSRRefD11x_2" localSheetId="91">'444'!$F$11:$F$14</definedName>
    <definedName name="OSRRefD11x_2" localSheetId="92">'450'!$F$11:$F$12</definedName>
    <definedName name="OSRRefD11x_2" localSheetId="73">'491'!$F$11:$F$17</definedName>
    <definedName name="OSRRefD11x_2" localSheetId="87">'492'!$F$11:$F$14</definedName>
    <definedName name="OSRRefD11x_2" localSheetId="94">'501'!$F$11:$F$12</definedName>
    <definedName name="OSRRefD11x_2" localSheetId="47">'Div 3'!$F$11:$F$77</definedName>
    <definedName name="OSRRefD11x_2" localSheetId="71">'Div 4'!$F$11:$F$19</definedName>
    <definedName name="OSRRefD11x_2" localSheetId="93">'Div 5'!$F$11:$F$12</definedName>
    <definedName name="OSRRefD11x_2" localSheetId="62">'Div 6'!$F$11:$F$29</definedName>
    <definedName name="OSRRefD11x_2" localSheetId="2">Summary!$F$11:$F$98</definedName>
    <definedName name="OSRRefD11x_3" localSheetId="48">'300'!$G$11:$G$75</definedName>
    <definedName name="OSRRefD11x_3" localSheetId="49">'300 &amp; 317'!$G$11:$G$90</definedName>
    <definedName name="OSRRefD11x_3" localSheetId="53">'307'!$G$11:$G$21</definedName>
    <definedName name="OSRRefD11x_3" localSheetId="54">'308'!$G$11:$G$33</definedName>
    <definedName name="OSRRefD11x_3" localSheetId="65">'309'!$G$11</definedName>
    <definedName name="OSRRefD11x_3" localSheetId="64">'310'!$G$11:$G$17</definedName>
    <definedName name="OSRRefD11x_3" localSheetId="72">'310 &amp; 491'!$G$11:$G$23</definedName>
    <definedName name="OSRRefD11x_3" localSheetId="55">'311'!$G$11:$G$32</definedName>
    <definedName name="OSRRefD11x_3" localSheetId="66">'313'!$G$11:$G$14</definedName>
    <definedName name="OSRRefD11x_3" localSheetId="58">'315'!$G$11:$G$48</definedName>
    <definedName name="OSRRefD11x_3" localSheetId="61">'316'!$G$11:$G$22</definedName>
    <definedName name="OSRRefD11x_3" localSheetId="63">'317'!$G$11:$G$29</definedName>
    <definedName name="OSRRefD11x_3" localSheetId="67">'321'!$G$11:$G$12</definedName>
    <definedName name="OSRRefD11x_3" localSheetId="68">'322'!$G$11</definedName>
    <definedName name="OSRRefD11x_3" localSheetId="56">'324'!$G$11:$G$14</definedName>
    <definedName name="OSRRefD11x_3" localSheetId="59">'326'!$G$11:$G$31</definedName>
    <definedName name="OSRRefD11x_3" localSheetId="70">'327'!$G$11:$G$12</definedName>
    <definedName name="OSRRefD11x_3" localSheetId="52">'330'!$G$11:$G$24</definedName>
    <definedName name="OSRRefD11x_3" localSheetId="57">'331'!$G$11:$G$48</definedName>
    <definedName name="OSRRefD11x_3" localSheetId="60">'332'!$G$11:$G$22</definedName>
    <definedName name="OSRRefD11x_3" localSheetId="74">'405'!$G$11:$G$12</definedName>
    <definedName name="OSRRefD11x_3" localSheetId="77">'412'!$G$11</definedName>
    <definedName name="OSRRefD11x_3" localSheetId="78">'413'!$G$11:$G$12</definedName>
    <definedName name="OSRRefD11x_3" localSheetId="79">'414'!$G$11:$G$13</definedName>
    <definedName name="OSRRefD11x_3" localSheetId="80">'415'!$G$11:$G$14</definedName>
    <definedName name="OSRRefD11x_3" localSheetId="81">'418'!$G$11:$G$12</definedName>
    <definedName name="OSRRefD11x_3" localSheetId="82">'420'!$G$11:$G$12</definedName>
    <definedName name="OSRRefD11x_3" localSheetId="89">'433'!$G$11:$G$14</definedName>
    <definedName name="OSRRefD11x_3" localSheetId="91">'444'!$G$11:$G$14</definedName>
    <definedName name="OSRRefD11x_3" localSheetId="92">'450'!$G$11:$G$12</definedName>
    <definedName name="OSRRefD11x_3" localSheetId="73">'491'!$G$11:$G$17</definedName>
    <definedName name="OSRRefD11x_3" localSheetId="87">'492'!$G$11:$G$14</definedName>
    <definedName name="OSRRefD11x_3" localSheetId="94">'501'!$G$11:$G$12</definedName>
    <definedName name="OSRRefD11x_3" localSheetId="47">'Div 3'!$G$11:$G$77</definedName>
    <definedName name="OSRRefD11x_3" localSheetId="71">'Div 4'!$G$11:$G$19</definedName>
    <definedName name="OSRRefD11x_3" localSheetId="93">'Div 5'!$G$11:$G$12</definedName>
    <definedName name="OSRRefD11x_3" localSheetId="62">'Div 6'!$G$11:$G$29</definedName>
    <definedName name="OSRRefD11x_3" localSheetId="2">Summary!$G$11:$G$98</definedName>
    <definedName name="OSRRefD11x_4" localSheetId="48">'300'!$H$11:$H$75</definedName>
    <definedName name="OSRRefD11x_4" localSheetId="49">'300 &amp; 317'!$H$11:$H$90</definedName>
    <definedName name="OSRRefD11x_4" localSheetId="53">'307'!$H$11:$H$21</definedName>
    <definedName name="OSRRefD11x_4" localSheetId="54">'308'!$H$11:$H$33</definedName>
    <definedName name="OSRRefD11x_4" localSheetId="65">'309'!$H$11</definedName>
    <definedName name="OSRRefD11x_4" localSheetId="64">'310'!$H$11:$H$17</definedName>
    <definedName name="OSRRefD11x_4" localSheetId="72">'310 &amp; 491'!$H$11:$H$23</definedName>
    <definedName name="OSRRefD11x_4" localSheetId="55">'311'!$H$11:$H$32</definedName>
    <definedName name="OSRRefD11x_4" localSheetId="66">'313'!$H$11:$H$14</definedName>
    <definedName name="OSRRefD11x_4" localSheetId="58">'315'!$H$11:$H$48</definedName>
    <definedName name="OSRRefD11x_4" localSheetId="61">'316'!$H$11:$H$22</definedName>
    <definedName name="OSRRefD11x_4" localSheetId="63">'317'!$H$11:$H$29</definedName>
    <definedName name="OSRRefD11x_4" localSheetId="67">'321'!$H$11:$H$12</definedName>
    <definedName name="OSRRefD11x_4" localSheetId="68">'322'!$H$11</definedName>
    <definedName name="OSRRefD11x_4" localSheetId="56">'324'!$H$11:$H$14</definedName>
    <definedName name="OSRRefD11x_4" localSheetId="59">'326'!$H$11:$H$31</definedName>
    <definedName name="OSRRefD11x_4" localSheetId="70">'327'!$H$11:$H$12</definedName>
    <definedName name="OSRRefD11x_4" localSheetId="52">'330'!$H$11:$H$24</definedName>
    <definedName name="OSRRefD11x_4" localSheetId="57">'331'!$H$11:$H$48</definedName>
    <definedName name="OSRRefD11x_4" localSheetId="60">'332'!$H$11:$H$22</definedName>
    <definedName name="OSRRefD11x_4" localSheetId="74">'405'!$H$11:$H$12</definedName>
    <definedName name="OSRRefD11x_4" localSheetId="77">'412'!$H$11</definedName>
    <definedName name="OSRRefD11x_4" localSheetId="78">'413'!$H$11:$H$12</definedName>
    <definedName name="OSRRefD11x_4" localSheetId="79">'414'!$H$11:$H$13</definedName>
    <definedName name="OSRRefD11x_4" localSheetId="80">'415'!$H$11:$H$14</definedName>
    <definedName name="OSRRefD11x_4" localSheetId="81">'418'!$H$11:$H$12</definedName>
    <definedName name="OSRRefD11x_4" localSheetId="82">'420'!$H$11:$H$12</definedName>
    <definedName name="OSRRefD11x_4" localSheetId="89">'433'!$H$11:$H$14</definedName>
    <definedName name="OSRRefD11x_4" localSheetId="91">'444'!$H$11:$H$14</definedName>
    <definedName name="OSRRefD11x_4" localSheetId="92">'450'!$H$11:$H$12</definedName>
    <definedName name="OSRRefD11x_4" localSheetId="73">'491'!$H$11:$H$17</definedName>
    <definedName name="OSRRefD11x_4" localSheetId="87">'492'!$H$11:$H$14</definedName>
    <definedName name="OSRRefD11x_4" localSheetId="94">'501'!$H$11:$H$12</definedName>
    <definedName name="OSRRefD11x_4" localSheetId="47">'Div 3'!$H$11:$H$77</definedName>
    <definedName name="OSRRefD11x_4" localSheetId="71">'Div 4'!$H$11:$H$19</definedName>
    <definedName name="OSRRefD11x_4" localSheetId="93">'Div 5'!$H$11:$H$12</definedName>
    <definedName name="OSRRefD11x_4" localSheetId="62">'Div 6'!$H$11:$H$29</definedName>
    <definedName name="OSRRefD11x_4" localSheetId="2">Summary!$H$11:$H$98</definedName>
    <definedName name="OSRRefD11x_5" localSheetId="48">'300'!$I$11:$I$75</definedName>
    <definedName name="OSRRefD11x_5" localSheetId="49">'300 &amp; 317'!$I$11:$I$90</definedName>
    <definedName name="OSRRefD11x_5" localSheetId="53">'307'!$I$11:$I$21</definedName>
    <definedName name="OSRRefD11x_5" localSheetId="54">'308'!$I$11:$I$33</definedName>
    <definedName name="OSRRefD11x_5" localSheetId="65">'309'!$I$11</definedName>
    <definedName name="OSRRefD11x_5" localSheetId="64">'310'!$I$11:$I$17</definedName>
    <definedName name="OSRRefD11x_5" localSheetId="72">'310 &amp; 491'!$I$11:$I$23</definedName>
    <definedName name="OSRRefD11x_5" localSheetId="55">'311'!$I$11:$I$32</definedName>
    <definedName name="OSRRefD11x_5" localSheetId="66">'313'!$I$11:$I$14</definedName>
    <definedName name="OSRRefD11x_5" localSheetId="58">'315'!$I$11:$I$48</definedName>
    <definedName name="OSRRefD11x_5" localSheetId="61">'316'!$I$11:$I$22</definedName>
    <definedName name="OSRRefD11x_5" localSheetId="63">'317'!$I$11:$I$29</definedName>
    <definedName name="OSRRefD11x_5" localSheetId="67">'321'!$I$11:$I$12</definedName>
    <definedName name="OSRRefD11x_5" localSheetId="68">'322'!$I$11</definedName>
    <definedName name="OSRRefD11x_5" localSheetId="56">'324'!$I$11:$I$14</definedName>
    <definedName name="OSRRefD11x_5" localSheetId="59">'326'!$I$11:$I$31</definedName>
    <definedName name="OSRRefD11x_5" localSheetId="70">'327'!$I$11:$I$12</definedName>
    <definedName name="OSRRefD11x_5" localSheetId="52">'330'!$I$11:$I$24</definedName>
    <definedName name="OSRRefD11x_5" localSheetId="57">'331'!$I$11:$I$48</definedName>
    <definedName name="OSRRefD11x_5" localSheetId="60">'332'!$I$11:$I$22</definedName>
    <definedName name="OSRRefD11x_5" localSheetId="74">'405'!$I$11:$I$12</definedName>
    <definedName name="OSRRefD11x_5" localSheetId="77">'412'!$I$11</definedName>
    <definedName name="OSRRefD11x_5" localSheetId="78">'413'!$I$11:$I$12</definedName>
    <definedName name="OSRRefD11x_5" localSheetId="79">'414'!$I$11:$I$13</definedName>
    <definedName name="OSRRefD11x_5" localSheetId="80">'415'!$I$11:$I$14</definedName>
    <definedName name="OSRRefD11x_5" localSheetId="81">'418'!$I$11:$I$12</definedName>
    <definedName name="OSRRefD11x_5" localSheetId="82">'420'!$I$11:$I$12</definedName>
    <definedName name="OSRRefD11x_5" localSheetId="89">'433'!$I$11:$I$14</definedName>
    <definedName name="OSRRefD11x_5" localSheetId="91">'444'!$I$11:$I$14</definedName>
    <definedName name="OSRRefD11x_5" localSheetId="92">'450'!$I$11:$I$12</definedName>
    <definedName name="OSRRefD11x_5" localSheetId="73">'491'!$I$11:$I$17</definedName>
    <definedName name="OSRRefD11x_5" localSheetId="87">'492'!$I$11:$I$14</definedName>
    <definedName name="OSRRefD11x_5" localSheetId="94">'501'!$I$11:$I$12</definedName>
    <definedName name="OSRRefD11x_5" localSheetId="47">'Div 3'!$I$11:$I$77</definedName>
    <definedName name="OSRRefD11x_5" localSheetId="71">'Div 4'!$I$11:$I$19</definedName>
    <definedName name="OSRRefD11x_5" localSheetId="93">'Div 5'!$I$11:$I$12</definedName>
    <definedName name="OSRRefD11x_5" localSheetId="62">'Div 6'!$I$11:$I$29</definedName>
    <definedName name="OSRRefD11x_5" localSheetId="2">Summary!$I$11:$I$98</definedName>
    <definedName name="OSRRefD11x_6" localSheetId="48">'300'!$J$11:$J$75</definedName>
    <definedName name="OSRRefD11x_6" localSheetId="49">'300 &amp; 317'!$J$11:$J$90</definedName>
    <definedName name="OSRRefD11x_6" localSheetId="53">'307'!$J$11:$J$21</definedName>
    <definedName name="OSRRefD11x_6" localSheetId="54">'308'!$J$11:$J$33</definedName>
    <definedName name="OSRRefD11x_6" localSheetId="65">'309'!$J$11</definedName>
    <definedName name="OSRRefD11x_6" localSheetId="64">'310'!$J$11:$J$17</definedName>
    <definedName name="OSRRefD11x_6" localSheetId="72">'310 &amp; 491'!$J$11:$J$23</definedName>
    <definedName name="OSRRefD11x_6" localSheetId="55">'311'!$J$11:$J$32</definedName>
    <definedName name="OSRRefD11x_6" localSheetId="66">'313'!$J$11:$J$14</definedName>
    <definedName name="OSRRefD11x_6" localSheetId="58">'315'!$J$11:$J$48</definedName>
    <definedName name="OSRRefD11x_6" localSheetId="61">'316'!$J$11:$J$22</definedName>
    <definedName name="OSRRefD11x_6" localSheetId="63">'317'!$J$11:$J$29</definedName>
    <definedName name="OSRRefD11x_6" localSheetId="67">'321'!$J$11:$J$12</definedName>
    <definedName name="OSRRefD11x_6" localSheetId="68">'322'!$J$11</definedName>
    <definedName name="OSRRefD11x_6" localSheetId="56">'324'!$J$11:$J$14</definedName>
    <definedName name="OSRRefD11x_6" localSheetId="59">'326'!$J$11:$J$31</definedName>
    <definedName name="OSRRefD11x_6" localSheetId="70">'327'!$J$11:$J$12</definedName>
    <definedName name="OSRRefD11x_6" localSheetId="52">'330'!$J$11:$J$24</definedName>
    <definedName name="OSRRefD11x_6" localSheetId="57">'331'!$J$11:$J$48</definedName>
    <definedName name="OSRRefD11x_6" localSheetId="60">'332'!$J$11:$J$22</definedName>
    <definedName name="OSRRefD11x_6" localSheetId="74">'405'!$J$11:$J$12</definedName>
    <definedName name="OSRRefD11x_6" localSheetId="77">'412'!$J$11</definedName>
    <definedName name="OSRRefD11x_6" localSheetId="78">'413'!$J$11:$J$12</definedName>
    <definedName name="OSRRefD11x_6" localSheetId="79">'414'!$J$11:$J$13</definedName>
    <definedName name="OSRRefD11x_6" localSheetId="80">'415'!$J$11:$J$14</definedName>
    <definedName name="OSRRefD11x_6" localSheetId="81">'418'!$J$11:$J$12</definedName>
    <definedName name="OSRRefD11x_6" localSheetId="82">'420'!$J$11:$J$12</definedName>
    <definedName name="OSRRefD11x_6" localSheetId="89">'433'!$J$11:$J$14</definedName>
    <definedName name="OSRRefD11x_6" localSheetId="91">'444'!$J$11:$J$14</definedName>
    <definedName name="OSRRefD11x_6" localSheetId="92">'450'!$J$11:$J$12</definedName>
    <definedName name="OSRRefD11x_6" localSheetId="73">'491'!$J$11:$J$17</definedName>
    <definedName name="OSRRefD11x_6" localSheetId="87">'492'!$J$11:$J$14</definedName>
    <definedName name="OSRRefD11x_6" localSheetId="94">'501'!$J$11:$J$12</definedName>
    <definedName name="OSRRefD11x_6" localSheetId="47">'Div 3'!$J$11:$J$77</definedName>
    <definedName name="OSRRefD11x_6" localSheetId="71">'Div 4'!$J$11:$J$19</definedName>
    <definedName name="OSRRefD11x_6" localSheetId="93">'Div 5'!$J$11:$J$12</definedName>
    <definedName name="OSRRefD11x_6" localSheetId="62">'Div 6'!$J$11:$J$29</definedName>
    <definedName name="OSRRefD11x_6" localSheetId="2">Summary!$J$11:$J$98</definedName>
    <definedName name="OSRRefD11x_7" localSheetId="48">'300'!$K$11:$K$75</definedName>
    <definedName name="OSRRefD11x_7" localSheetId="49">'300 &amp; 317'!$K$11:$K$90</definedName>
    <definedName name="OSRRefD11x_7" localSheetId="53">'307'!$K$11:$K$21</definedName>
    <definedName name="OSRRefD11x_7" localSheetId="54">'308'!$K$11:$K$33</definedName>
    <definedName name="OSRRefD11x_7" localSheetId="65">'309'!$K$11</definedName>
    <definedName name="OSRRefD11x_7" localSheetId="64">'310'!$K$11:$K$17</definedName>
    <definedName name="OSRRefD11x_7" localSheetId="72">'310 &amp; 491'!$K$11:$K$23</definedName>
    <definedName name="OSRRefD11x_7" localSheetId="55">'311'!$K$11:$K$32</definedName>
    <definedName name="OSRRefD11x_7" localSheetId="66">'313'!$K$11:$K$14</definedName>
    <definedName name="OSRRefD11x_7" localSheetId="58">'315'!$K$11:$K$48</definedName>
    <definedName name="OSRRefD11x_7" localSheetId="61">'316'!$K$11:$K$22</definedName>
    <definedName name="OSRRefD11x_7" localSheetId="63">'317'!$K$11:$K$29</definedName>
    <definedName name="OSRRefD11x_7" localSheetId="67">'321'!$K$11:$K$12</definedName>
    <definedName name="OSRRefD11x_7" localSheetId="68">'322'!$K$11</definedName>
    <definedName name="OSRRefD11x_7" localSheetId="56">'324'!$K$11:$K$14</definedName>
    <definedName name="OSRRefD11x_7" localSheetId="59">'326'!$K$11:$K$31</definedName>
    <definedName name="OSRRefD11x_7" localSheetId="70">'327'!$K$11:$K$12</definedName>
    <definedName name="OSRRefD11x_7" localSheetId="52">'330'!$K$11:$K$24</definedName>
    <definedName name="OSRRefD11x_7" localSheetId="57">'331'!$K$11:$K$48</definedName>
    <definedName name="OSRRefD11x_7" localSheetId="60">'332'!$K$11:$K$22</definedName>
    <definedName name="OSRRefD11x_7" localSheetId="74">'405'!$K$11:$K$12</definedName>
    <definedName name="OSRRefD11x_7" localSheetId="77">'412'!$K$11</definedName>
    <definedName name="OSRRefD11x_7" localSheetId="78">'413'!$K$11:$K$12</definedName>
    <definedName name="OSRRefD11x_7" localSheetId="79">'414'!$K$11:$K$13</definedName>
    <definedName name="OSRRefD11x_7" localSheetId="80">'415'!$K$11:$K$14</definedName>
    <definedName name="OSRRefD11x_7" localSheetId="81">'418'!$K$11:$K$12</definedName>
    <definedName name="OSRRefD11x_7" localSheetId="82">'420'!$K$11:$K$12</definedName>
    <definedName name="OSRRefD11x_7" localSheetId="89">'433'!$K$11:$K$14</definedName>
    <definedName name="OSRRefD11x_7" localSheetId="91">'444'!$K$11:$K$14</definedName>
    <definedName name="OSRRefD11x_7" localSheetId="92">'450'!$K$11:$K$12</definedName>
    <definedName name="OSRRefD11x_7" localSheetId="73">'491'!$K$11:$K$17</definedName>
    <definedName name="OSRRefD11x_7" localSheetId="87">'492'!$K$11:$K$14</definedName>
    <definedName name="OSRRefD11x_7" localSheetId="94">'501'!$K$11:$K$12</definedName>
    <definedName name="OSRRefD11x_7" localSheetId="47">'Div 3'!$K$11:$K$77</definedName>
    <definedName name="OSRRefD11x_7" localSheetId="71">'Div 4'!$K$11:$K$19</definedName>
    <definedName name="OSRRefD11x_7" localSheetId="93">'Div 5'!$K$11:$K$12</definedName>
    <definedName name="OSRRefD11x_7" localSheetId="62">'Div 6'!$K$11:$K$29</definedName>
    <definedName name="OSRRefD11x_7" localSheetId="2">Summary!$K$11:$K$98</definedName>
    <definedName name="OSRRefD11x_8" localSheetId="48">'300'!$L$11:$L$75</definedName>
    <definedName name="OSRRefD11x_8" localSheetId="49">'300 &amp; 317'!$L$11:$L$90</definedName>
    <definedName name="OSRRefD11x_8" localSheetId="53">'307'!$L$11:$L$21</definedName>
    <definedName name="OSRRefD11x_8" localSheetId="54">'308'!$L$11:$L$33</definedName>
    <definedName name="OSRRefD11x_8" localSheetId="65">'309'!$L$11</definedName>
    <definedName name="OSRRefD11x_8" localSheetId="64">'310'!$L$11:$L$17</definedName>
    <definedName name="OSRRefD11x_8" localSheetId="72">'310 &amp; 491'!$L$11:$L$23</definedName>
    <definedName name="OSRRefD11x_8" localSheetId="55">'311'!$L$11:$L$32</definedName>
    <definedName name="OSRRefD11x_8" localSheetId="66">'313'!$L$11:$L$14</definedName>
    <definedName name="OSRRefD11x_8" localSheetId="58">'315'!$L$11:$L$48</definedName>
    <definedName name="OSRRefD11x_8" localSheetId="61">'316'!$L$11:$L$22</definedName>
    <definedName name="OSRRefD11x_8" localSheetId="63">'317'!$L$11:$L$29</definedName>
    <definedName name="OSRRefD11x_8" localSheetId="67">'321'!$L$11:$L$12</definedName>
    <definedName name="OSRRefD11x_8" localSheetId="68">'322'!$L$11</definedName>
    <definedName name="OSRRefD11x_8" localSheetId="56">'324'!$L$11:$L$14</definedName>
    <definedName name="OSRRefD11x_8" localSheetId="59">'326'!$L$11:$L$31</definedName>
    <definedName name="OSRRefD11x_8" localSheetId="70">'327'!$L$11:$L$12</definedName>
    <definedName name="OSRRefD11x_8" localSheetId="52">'330'!$L$11:$L$24</definedName>
    <definedName name="OSRRefD11x_8" localSheetId="57">'331'!$L$11:$L$48</definedName>
    <definedName name="OSRRefD11x_8" localSheetId="60">'332'!$L$11:$L$22</definedName>
    <definedName name="OSRRefD11x_8" localSheetId="74">'405'!$L$11:$L$12</definedName>
    <definedName name="OSRRefD11x_8" localSheetId="77">'412'!$L$11</definedName>
    <definedName name="OSRRefD11x_8" localSheetId="78">'413'!$L$11:$L$12</definedName>
    <definedName name="OSRRefD11x_8" localSheetId="79">'414'!$L$11:$L$13</definedName>
    <definedName name="OSRRefD11x_8" localSheetId="80">'415'!$L$11:$L$14</definedName>
    <definedName name="OSRRefD11x_8" localSheetId="81">'418'!$L$11:$L$12</definedName>
    <definedName name="OSRRefD11x_8" localSheetId="82">'420'!$L$11:$L$12</definedName>
    <definedName name="OSRRefD11x_8" localSheetId="89">'433'!$L$11:$L$14</definedName>
    <definedName name="OSRRefD11x_8" localSheetId="91">'444'!$L$11:$L$14</definedName>
    <definedName name="OSRRefD11x_8" localSheetId="92">'450'!$L$11:$L$12</definedName>
    <definedName name="OSRRefD11x_8" localSheetId="73">'491'!$L$11:$L$17</definedName>
    <definedName name="OSRRefD11x_8" localSheetId="87">'492'!$L$11:$L$14</definedName>
    <definedName name="OSRRefD11x_8" localSheetId="94">'501'!$L$11:$L$12</definedName>
    <definedName name="OSRRefD11x_8" localSheetId="47">'Div 3'!$L$11:$L$77</definedName>
    <definedName name="OSRRefD11x_8" localSheetId="71">'Div 4'!$L$11:$L$19</definedName>
    <definedName name="OSRRefD11x_8" localSheetId="93">'Div 5'!$L$11:$L$12</definedName>
    <definedName name="OSRRefD11x_8" localSheetId="62">'Div 6'!$L$11:$L$29</definedName>
    <definedName name="OSRRefD11x_8" localSheetId="2">Summary!$L$11:$L$98</definedName>
    <definedName name="OSRRefD11x_9" localSheetId="48">'300'!$M$11:$M$75</definedName>
    <definedName name="OSRRefD11x_9" localSheetId="49">'300 &amp; 317'!$M$11:$M$90</definedName>
    <definedName name="OSRRefD11x_9" localSheetId="53">'307'!$M$11:$M$21</definedName>
    <definedName name="OSRRefD11x_9" localSheetId="54">'308'!$M$11:$M$33</definedName>
    <definedName name="OSRRefD11x_9" localSheetId="65">'309'!$M$11</definedName>
    <definedName name="OSRRefD11x_9" localSheetId="64">'310'!$M$11:$M$17</definedName>
    <definedName name="OSRRefD11x_9" localSheetId="72">'310 &amp; 491'!$M$11:$M$23</definedName>
    <definedName name="OSRRefD11x_9" localSheetId="55">'311'!$M$11:$M$32</definedName>
    <definedName name="OSRRefD11x_9" localSheetId="66">'313'!$M$11:$M$14</definedName>
    <definedName name="OSRRefD11x_9" localSheetId="58">'315'!$M$11:$M$48</definedName>
    <definedName name="OSRRefD11x_9" localSheetId="61">'316'!$M$11:$M$22</definedName>
    <definedName name="OSRRefD11x_9" localSheetId="63">'317'!$M$11:$M$29</definedName>
    <definedName name="OSRRefD11x_9" localSheetId="67">'321'!$M$11:$M$12</definedName>
    <definedName name="OSRRefD11x_9" localSheetId="68">'322'!$M$11</definedName>
    <definedName name="OSRRefD11x_9" localSheetId="56">'324'!$M$11:$M$14</definedName>
    <definedName name="OSRRefD11x_9" localSheetId="59">'326'!$M$11:$M$31</definedName>
    <definedName name="OSRRefD11x_9" localSheetId="70">'327'!$M$11:$M$12</definedName>
    <definedName name="OSRRefD11x_9" localSheetId="52">'330'!$M$11:$M$24</definedName>
    <definedName name="OSRRefD11x_9" localSheetId="57">'331'!$M$11:$M$48</definedName>
    <definedName name="OSRRefD11x_9" localSheetId="60">'332'!$M$11:$M$22</definedName>
    <definedName name="OSRRefD11x_9" localSheetId="74">'405'!$M$11:$M$12</definedName>
    <definedName name="OSRRefD11x_9" localSheetId="77">'412'!$M$11</definedName>
    <definedName name="OSRRefD11x_9" localSheetId="78">'413'!$M$11:$M$12</definedName>
    <definedName name="OSRRefD11x_9" localSheetId="79">'414'!$M$11:$M$13</definedName>
    <definedName name="OSRRefD11x_9" localSheetId="80">'415'!$M$11:$M$14</definedName>
    <definedName name="OSRRefD11x_9" localSheetId="81">'418'!$M$11:$M$12</definedName>
    <definedName name="OSRRefD11x_9" localSheetId="82">'420'!$M$11:$M$12</definedName>
    <definedName name="OSRRefD11x_9" localSheetId="89">'433'!$M$11:$M$14</definedName>
    <definedName name="OSRRefD11x_9" localSheetId="91">'444'!$M$11:$M$14</definedName>
    <definedName name="OSRRefD11x_9" localSheetId="92">'450'!$M$11:$M$12</definedName>
    <definedName name="OSRRefD11x_9" localSheetId="73">'491'!$M$11:$M$17</definedName>
    <definedName name="OSRRefD11x_9" localSheetId="87">'492'!$M$11:$M$14</definedName>
    <definedName name="OSRRefD11x_9" localSheetId="94">'501'!$M$11:$M$12</definedName>
    <definedName name="OSRRefD11x_9" localSheetId="47">'Div 3'!$M$11:$M$77</definedName>
    <definedName name="OSRRefD11x_9" localSheetId="71">'Div 4'!$M$11:$M$19</definedName>
    <definedName name="OSRRefD11x_9" localSheetId="93">'Div 5'!$M$11:$M$12</definedName>
    <definedName name="OSRRefD11x_9" localSheetId="62">'Div 6'!$M$11:$M$29</definedName>
    <definedName name="OSRRefD11x_9" localSheetId="2">Summary!$M$11:$M$98</definedName>
    <definedName name="OSRRefD14_0x" localSheetId="48">'300'!$D$78:$M$78</definedName>
    <definedName name="OSRRefD14_0x" localSheetId="49">'300 &amp; 317'!$D$93:$M$93</definedName>
    <definedName name="OSRRefD14_0x" localSheetId="50">'301'!$D$13:$M$13</definedName>
    <definedName name="OSRRefD14_0x" localSheetId="53">'307'!$D$24:$M$24</definedName>
    <definedName name="OSRRefD14_0x" localSheetId="54">'308'!$D$36:$M$36</definedName>
    <definedName name="OSRRefD14_0x" localSheetId="65">'309'!$D$14:$M$14</definedName>
    <definedName name="OSRRefD14_0x" localSheetId="64">'310'!$D$20:$M$20</definedName>
    <definedName name="OSRRefD14_0x" localSheetId="72">'310 &amp; 491'!$D$26:$M$26</definedName>
    <definedName name="OSRRefD14_0x" localSheetId="55">'311'!$D$35:$M$35</definedName>
    <definedName name="OSRRefD14_0x" localSheetId="66">'313'!$D$17:$M$17</definedName>
    <definedName name="OSRRefD14_0x" localSheetId="58">'315'!$D$51:$M$51</definedName>
    <definedName name="OSRRefD14_0x" localSheetId="63">'317'!$D$32:$M$32</definedName>
    <definedName name="OSRRefD14_0x" localSheetId="67">'321'!$D$15:$M$15</definedName>
    <definedName name="OSRRefD14_0x" localSheetId="68">'322'!$D$14:$M$14</definedName>
    <definedName name="OSRRefD14_0x" localSheetId="56">'324'!$D$17:$M$17</definedName>
    <definedName name="OSRRefD14_0x" localSheetId="69">'325'!$D$13:$M$13</definedName>
    <definedName name="OSRRefD14_0x" localSheetId="59">'326'!$D$34:$M$34</definedName>
    <definedName name="OSRRefD14_0x" localSheetId="70">'327'!$D$15:$M$15</definedName>
    <definedName name="OSRRefD14_0x" localSheetId="52">'330'!$D$27:$M$27</definedName>
    <definedName name="OSRRefD14_0x" localSheetId="57">'331'!$D$51:$M$51</definedName>
    <definedName name="OSRRefD14_0x" localSheetId="60">'332'!$D$25:$M$25</definedName>
    <definedName name="OSRRefD14_0x" localSheetId="74">'405'!$D$15:$M$15</definedName>
    <definedName name="OSRRefD14_0x" localSheetId="77">'412'!$D$14:$M$14</definedName>
    <definedName name="OSRRefD14_0x" localSheetId="78">'413'!$D$15:$M$15</definedName>
    <definedName name="OSRRefD14_0x" localSheetId="79">'414'!$D$16:$M$16</definedName>
    <definedName name="OSRRefD14_0x" localSheetId="80">'415'!$D$17:$M$17</definedName>
    <definedName name="OSRRefD14_0x" localSheetId="81">'418'!$D$15:$M$15</definedName>
    <definedName name="OSRRefD14_0x" localSheetId="85">'425'!$D$13:$M$13</definedName>
    <definedName name="OSRRefD14_0x" localSheetId="89">'433'!$D$17:$M$17</definedName>
    <definedName name="OSRRefD14_0x" localSheetId="91">'444'!$D$17:$M$17</definedName>
    <definedName name="OSRRefD14_0x" localSheetId="92">'450'!$D$15:$M$15</definedName>
    <definedName name="OSRRefD14_0x" localSheetId="73">'491'!$D$20:$M$20</definedName>
    <definedName name="OSRRefD14_0x" localSheetId="87">'492'!$D$17:$M$17</definedName>
    <definedName name="OSRRefD14_0x" localSheetId="47">'Div 3'!$D$80:$M$80</definedName>
    <definedName name="OSRRefD14_0x" localSheetId="71">'Div 4'!$D$22:$M$22</definedName>
    <definedName name="OSRRefD14_0x" localSheetId="62">'Div 6'!$D$32:$M$32</definedName>
    <definedName name="OSRRefD14_0x" localSheetId="2">Summary!$D$101:$M$101</definedName>
    <definedName name="OSRRefD14_10x" localSheetId="48">'300'!$D$88:$M$88</definedName>
    <definedName name="OSRRefD14_10x" localSheetId="49">'300 &amp; 317'!$D$103:$M$103</definedName>
    <definedName name="OSRRefD14_10x" localSheetId="54">'308'!$D$46:$M$46</definedName>
    <definedName name="OSRRefD14_10x" localSheetId="55">'311'!$D$45:$M$45</definedName>
    <definedName name="OSRRefD14_10x" localSheetId="58">'315'!$D$61:$M$61</definedName>
    <definedName name="OSRRefD14_10x" localSheetId="63">'317'!$D$42:$M$42</definedName>
    <definedName name="OSRRefD14_10x" localSheetId="57">'331'!$D$61:$M$61</definedName>
    <definedName name="OSRRefD14_10x" localSheetId="47">'Div 3'!$D$90:$M$90</definedName>
    <definedName name="OSRRefD14_10x" localSheetId="62">'Div 6'!$D$42:$M$42</definedName>
    <definedName name="OSRRefD14_10x" localSheetId="2">Summary!$D$111:$M$111</definedName>
    <definedName name="OSRRefD14_11x" localSheetId="48">'300'!$D$89:$M$89</definedName>
    <definedName name="OSRRefD14_11x" localSheetId="49">'300 &amp; 317'!$D$104:$M$104</definedName>
    <definedName name="OSRRefD14_11x" localSheetId="54">'308'!$D$47:$M$47</definedName>
    <definedName name="OSRRefD14_11x" localSheetId="55">'311'!$D$46:$M$46</definedName>
    <definedName name="OSRRefD14_11x" localSheetId="58">'315'!$D$62:$M$62</definedName>
    <definedName name="OSRRefD14_11x" localSheetId="63">'317'!$D$43:$M$43</definedName>
    <definedName name="OSRRefD14_11x" localSheetId="57">'331'!$D$62:$M$62</definedName>
    <definedName name="OSRRefD14_11x" localSheetId="47">'Div 3'!$D$91:$M$91</definedName>
    <definedName name="OSRRefD14_11x" localSheetId="62">'Div 6'!$D$43:$M$43</definedName>
    <definedName name="OSRRefD14_11x" localSheetId="2">Summary!$D$112:$M$112</definedName>
    <definedName name="OSRRefD14_12x" localSheetId="48">'300'!$D$90:$M$90</definedName>
    <definedName name="OSRRefD14_12x" localSheetId="49">'300 &amp; 317'!$D$105:$M$105</definedName>
    <definedName name="OSRRefD14_12x" localSheetId="54">'308'!$D$48:$M$48</definedName>
    <definedName name="OSRRefD14_12x" localSheetId="55">'311'!$D$47:$M$47</definedName>
    <definedName name="OSRRefD14_12x" localSheetId="58">'315'!$D$63:$M$63</definedName>
    <definedName name="OSRRefD14_12x" localSheetId="63">'317'!$D$44:$M$44</definedName>
    <definedName name="OSRRefD14_12x" localSheetId="57">'331'!$D$63:$M$63</definedName>
    <definedName name="OSRRefD14_12x" localSheetId="47">'Div 3'!$D$92:$M$92</definedName>
    <definedName name="OSRRefD14_12x" localSheetId="62">'Div 6'!$D$44:$M$44</definedName>
    <definedName name="OSRRefD14_12x" localSheetId="2">Summary!$D$113:$M$113</definedName>
    <definedName name="OSRRefD14_13x" localSheetId="48">'300'!$D$91:$M$91</definedName>
    <definedName name="OSRRefD14_13x" localSheetId="49">'300 &amp; 317'!$D$106:$M$106</definedName>
    <definedName name="OSRRefD14_13x" localSheetId="54">'308'!$D$49:$M$49</definedName>
    <definedName name="OSRRefD14_13x" localSheetId="55">'311'!$D$48:$M$48</definedName>
    <definedName name="OSRRefD14_13x" localSheetId="58">'315'!$D$64:$M$64</definedName>
    <definedName name="OSRRefD14_13x" localSheetId="63">'317'!$D$45:$M$45</definedName>
    <definedName name="OSRRefD14_13x" localSheetId="57">'331'!$D$64:$M$64</definedName>
    <definedName name="OSRRefD14_13x" localSheetId="47">'Div 3'!$D$93:$M$93</definedName>
    <definedName name="OSRRefD14_13x" localSheetId="62">'Div 6'!$D$45:$M$45</definedName>
    <definedName name="OSRRefD14_13x" localSheetId="2">Summary!$D$114:$M$114</definedName>
    <definedName name="OSRRefD14_14x" localSheetId="48">'300'!$D$92:$M$92</definedName>
    <definedName name="OSRRefD14_14x" localSheetId="49">'300 &amp; 317'!$D$107:$M$107</definedName>
    <definedName name="OSRRefD14_14x" localSheetId="54">'308'!$D$50:$M$50</definedName>
    <definedName name="OSRRefD14_14x" localSheetId="55">'311'!$D$49:$M$49</definedName>
    <definedName name="OSRRefD14_14x" localSheetId="58">'315'!$D$65:$M$65</definedName>
    <definedName name="OSRRefD14_14x" localSheetId="57">'331'!$D$65:$M$65</definedName>
    <definedName name="OSRRefD14_14x" localSheetId="47">'Div 3'!$D$94:$M$94</definedName>
    <definedName name="OSRRefD14_14x" localSheetId="2">Summary!$D$115:$M$115</definedName>
    <definedName name="OSRRefD14_15x" localSheetId="48">'300'!$D$93:$M$93</definedName>
    <definedName name="OSRRefD14_15x" localSheetId="49">'300 &amp; 317'!$D$108:$M$108</definedName>
    <definedName name="OSRRefD14_15x" localSheetId="54">'308'!$D$51:$M$51</definedName>
    <definedName name="OSRRefD14_15x" localSheetId="55">'311'!$D$50:$M$50</definedName>
    <definedName name="OSRRefD14_15x" localSheetId="58">'315'!$D$66:$M$66</definedName>
    <definedName name="OSRRefD14_15x" localSheetId="57">'331'!$D$66:$M$66</definedName>
    <definedName name="OSRRefD14_15x" localSheetId="47">'Div 3'!$D$95:$M$95</definedName>
    <definedName name="OSRRefD14_15x" localSheetId="2">Summary!$D$116:$M$116</definedName>
    <definedName name="OSRRefD14_16x" localSheetId="48">'300'!$D$94:$M$94</definedName>
    <definedName name="OSRRefD14_16x" localSheetId="49">'300 &amp; 317'!$D$109:$M$109</definedName>
    <definedName name="OSRRefD14_16x" localSheetId="58">'315'!$D$67:$M$67</definedName>
    <definedName name="OSRRefD14_16x" localSheetId="57">'331'!$D$67:$M$67</definedName>
    <definedName name="OSRRefD14_16x" localSheetId="47">'Div 3'!$D$96:$M$96</definedName>
    <definedName name="OSRRefD14_16x" localSheetId="2">Summary!$D$117:$M$117</definedName>
    <definedName name="OSRRefD14_17x" localSheetId="48">'300'!$D$95:$M$95</definedName>
    <definedName name="OSRRefD14_17x" localSheetId="49">'300 &amp; 317'!$D$110:$M$110</definedName>
    <definedName name="OSRRefD14_17x" localSheetId="58">'315'!$D$68:$M$68</definedName>
    <definedName name="OSRRefD14_17x" localSheetId="57">'331'!$D$68:$M$68</definedName>
    <definedName name="OSRRefD14_17x" localSheetId="47">'Div 3'!$D$97:$M$97</definedName>
    <definedName name="OSRRefD14_17x" localSheetId="2">Summary!$D$118:$M$118</definedName>
    <definedName name="OSRRefD14_18x" localSheetId="48">'300'!$D$96:$M$96</definedName>
    <definedName name="OSRRefD14_18x" localSheetId="49">'300 &amp; 317'!$D$111:$M$111</definedName>
    <definedName name="OSRRefD14_18x" localSheetId="58">'315'!$D$69:$M$69</definedName>
    <definedName name="OSRRefD14_18x" localSheetId="57">'331'!$D$69:$M$69</definedName>
    <definedName name="OSRRefD14_18x" localSheetId="47">'Div 3'!$D$98:$M$98</definedName>
    <definedName name="OSRRefD14_18x" localSheetId="2">Summary!$D$119:$M$119</definedName>
    <definedName name="OSRRefD14_19x" localSheetId="48">'300'!$D$97:$M$97</definedName>
    <definedName name="OSRRefD14_19x" localSheetId="49">'300 &amp; 317'!$D$112:$M$112</definedName>
    <definedName name="OSRRefD14_19x" localSheetId="58">'315'!$D$70:$M$70</definedName>
    <definedName name="OSRRefD14_19x" localSheetId="57">'331'!$D$70:$M$70</definedName>
    <definedName name="OSRRefD14_19x" localSheetId="47">'Div 3'!$D$99:$M$99</definedName>
    <definedName name="OSRRefD14_19x" localSheetId="2">Summary!$D$120:$M$120</definedName>
    <definedName name="OSRRefD14_1x" localSheetId="48">'300'!$D$79:$M$79</definedName>
    <definedName name="OSRRefD14_1x" localSheetId="49">'300 &amp; 317'!$D$94:$M$94</definedName>
    <definedName name="OSRRefD14_1x" localSheetId="53">'307'!$D$25:$M$25</definedName>
    <definedName name="OSRRefD14_1x" localSheetId="54">'308'!$D$37:$M$37</definedName>
    <definedName name="OSRRefD14_1x" localSheetId="64">'310'!$D$21:$M$21</definedName>
    <definedName name="OSRRefD14_1x" localSheetId="72">'310 &amp; 491'!$D$27:$M$27</definedName>
    <definedName name="OSRRefD14_1x" localSheetId="55">'311'!$D$36:$M$36</definedName>
    <definedName name="OSRRefD14_1x" localSheetId="58">'315'!$D$52:$M$52</definedName>
    <definedName name="OSRRefD14_1x" localSheetId="63">'317'!$D$33:$M$33</definedName>
    <definedName name="OSRRefD14_1x" localSheetId="67">'321'!$D$16:$M$16</definedName>
    <definedName name="OSRRefD14_1x" localSheetId="68">'322'!$D$15:$M$15</definedName>
    <definedName name="OSRRefD14_1x" localSheetId="56">'324'!$D$18:$M$18</definedName>
    <definedName name="OSRRefD14_1x" localSheetId="69">'325'!$D$14:$M$14</definedName>
    <definedName name="OSRRefD14_1x" localSheetId="59">'326'!$D$35:$M$35</definedName>
    <definedName name="OSRRefD14_1x" localSheetId="70">'327'!$D$16:$M$16</definedName>
    <definedName name="OSRRefD14_1x" localSheetId="52">'330'!$D$28:$M$28</definedName>
    <definedName name="OSRRefD14_1x" localSheetId="57">'331'!$D$52:$M$52</definedName>
    <definedName name="OSRRefD14_1x" localSheetId="60">'332'!$D$26:$M$26</definedName>
    <definedName name="OSRRefD14_1x" localSheetId="74">'405'!$D$16:$M$16</definedName>
    <definedName name="OSRRefD14_1x" localSheetId="79">'414'!$D$17:$M$17</definedName>
    <definedName name="OSRRefD14_1x" localSheetId="80">'415'!$D$18:$M$18</definedName>
    <definedName name="OSRRefD14_1x" localSheetId="81">'418'!$D$16:$M$16</definedName>
    <definedName name="OSRRefD14_1x" localSheetId="89">'433'!$D$18:$M$18</definedName>
    <definedName name="OSRRefD14_1x" localSheetId="91">'444'!$D$18:$M$18</definedName>
    <definedName name="OSRRefD14_1x" localSheetId="73">'491'!$D$21:$M$21</definedName>
    <definedName name="OSRRefD14_1x" localSheetId="87">'492'!$D$18:$M$18</definedName>
    <definedName name="OSRRefD14_1x" localSheetId="47">'Div 3'!$D$81:$M$81</definedName>
    <definedName name="OSRRefD14_1x" localSheetId="71">'Div 4'!$D$23:$M$23</definedName>
    <definedName name="OSRRefD14_1x" localSheetId="62">'Div 6'!$D$33:$M$33</definedName>
    <definedName name="OSRRefD14_1x" localSheetId="2">Summary!$D$102:$M$102</definedName>
    <definedName name="OSRRefD14_20x" localSheetId="48">'300'!$D$98:$M$98</definedName>
    <definedName name="OSRRefD14_20x" localSheetId="49">'300 &amp; 317'!$D$113:$M$113</definedName>
    <definedName name="OSRRefD14_20x" localSheetId="58">'315'!$D$71:$M$71</definedName>
    <definedName name="OSRRefD14_20x" localSheetId="57">'331'!$D$71:$M$71</definedName>
    <definedName name="OSRRefD14_20x" localSheetId="47">'Div 3'!$D$100:$M$100</definedName>
    <definedName name="OSRRefD14_20x" localSheetId="2">Summary!$D$121:$M$121</definedName>
    <definedName name="OSRRefD14_21x" localSheetId="48">'300'!$D$99:$M$99</definedName>
    <definedName name="OSRRefD14_21x" localSheetId="49">'300 &amp; 317'!$D$114:$M$114</definedName>
    <definedName name="OSRRefD14_21x" localSheetId="58">'315'!$D$72:$M$72</definedName>
    <definedName name="OSRRefD14_21x" localSheetId="57">'331'!$D$72:$M$72</definedName>
    <definedName name="OSRRefD14_21x" localSheetId="47">'Div 3'!$D$101:$M$101</definedName>
    <definedName name="OSRRefD14_21x" localSheetId="2">Summary!$D$122:$M$122</definedName>
    <definedName name="OSRRefD14_22x" localSheetId="48">'300'!$D$100:$M$100</definedName>
    <definedName name="OSRRefD14_22x" localSheetId="49">'300 &amp; 317'!$D$115:$M$115</definedName>
    <definedName name="OSRRefD14_22x" localSheetId="58">'315'!$D$73:$M$73</definedName>
    <definedName name="OSRRefD14_22x" localSheetId="57">'331'!$D$73:$M$73</definedName>
    <definedName name="OSRRefD14_22x" localSheetId="47">'Div 3'!$D$102:$M$102</definedName>
    <definedName name="OSRRefD14_22x" localSheetId="2">Summary!$D$123:$M$123</definedName>
    <definedName name="OSRRefD14_23x" localSheetId="48">'300'!$D$101:$M$101</definedName>
    <definedName name="OSRRefD14_23x" localSheetId="49">'300 &amp; 317'!$D$116:$M$116</definedName>
    <definedName name="OSRRefD14_23x" localSheetId="57">'331'!$D$74:$M$74</definedName>
    <definedName name="OSRRefD14_23x" localSheetId="47">'Div 3'!$D$103:$M$103</definedName>
    <definedName name="OSRRefD14_23x" localSheetId="2">Summary!$D$124:$M$124</definedName>
    <definedName name="OSRRefD14_24x" localSheetId="48">'300'!$D$102:$M$102</definedName>
    <definedName name="OSRRefD14_24x" localSheetId="49">'300 &amp; 317'!$D$117:$M$117</definedName>
    <definedName name="OSRRefD14_24x" localSheetId="47">'Div 3'!$D$104:$M$104</definedName>
    <definedName name="OSRRefD14_24x" localSheetId="2">Summary!$D$125:$M$125</definedName>
    <definedName name="OSRRefD14_25x" localSheetId="48">'300'!$D$103:$M$103</definedName>
    <definedName name="OSRRefD14_25x" localSheetId="49">'300 &amp; 317'!$D$118:$M$118</definedName>
    <definedName name="OSRRefD14_25x" localSheetId="47">'Div 3'!$D$105:$M$105</definedName>
    <definedName name="OSRRefD14_25x" localSheetId="2">Summary!$D$126:$M$126</definedName>
    <definedName name="OSRRefD14_26x" localSheetId="48">'300'!$D$104:$M$104</definedName>
    <definedName name="OSRRefD14_26x" localSheetId="49">'300 &amp; 317'!$D$119:$M$119</definedName>
    <definedName name="OSRRefD14_26x" localSheetId="47">'Div 3'!$D$106:$M$106</definedName>
    <definedName name="OSRRefD14_26x" localSheetId="2">Summary!$D$127:$M$127</definedName>
    <definedName name="OSRRefD14_27x" localSheetId="48">'300'!$D$105:$M$105</definedName>
    <definedName name="OSRRefD14_27x" localSheetId="49">'300 &amp; 317'!$D$120:$M$120</definedName>
    <definedName name="OSRRefD14_27x" localSheetId="47">'Div 3'!$D$107:$M$107</definedName>
    <definedName name="OSRRefD14_27x" localSheetId="2">Summary!$D$128:$M$128</definedName>
    <definedName name="OSRRefD14_28x" localSheetId="48">'300'!$D$106:$M$106</definedName>
    <definedName name="OSRRefD14_28x" localSheetId="49">'300 &amp; 317'!$D$121:$M$121</definedName>
    <definedName name="OSRRefD14_28x" localSheetId="47">'Div 3'!$D$108:$M$108</definedName>
    <definedName name="OSRRefD14_28x" localSheetId="2">Summary!$D$129:$M$129</definedName>
    <definedName name="OSRRefD14_29x" localSheetId="48">'300'!$D$107:$M$107</definedName>
    <definedName name="OSRRefD14_29x" localSheetId="49">'300 &amp; 317'!$D$122:$M$122</definedName>
    <definedName name="OSRRefD14_29x" localSheetId="47">'Div 3'!$D$109:$M$109</definedName>
    <definedName name="OSRRefD14_29x" localSheetId="2">Summary!$D$130:$M$130</definedName>
    <definedName name="OSRRefD14_2x" localSheetId="48">'300'!$D$80:$M$80</definedName>
    <definedName name="OSRRefD14_2x" localSheetId="49">'300 &amp; 317'!$D$95:$M$95</definedName>
    <definedName name="OSRRefD14_2x" localSheetId="53">'307'!$D$26:$M$26</definedName>
    <definedName name="OSRRefD14_2x" localSheetId="54">'308'!$D$38:$M$38</definedName>
    <definedName name="OSRRefD14_2x" localSheetId="64">'310'!$D$22:$M$22</definedName>
    <definedName name="OSRRefD14_2x" localSheetId="72">'310 &amp; 491'!$D$28:$M$28</definedName>
    <definedName name="OSRRefD14_2x" localSheetId="55">'311'!$D$37:$M$37</definedName>
    <definedName name="OSRRefD14_2x" localSheetId="58">'315'!$D$53:$M$53</definedName>
    <definedName name="OSRRefD14_2x" localSheetId="63">'317'!$D$34:$M$34</definedName>
    <definedName name="OSRRefD14_2x" localSheetId="56">'324'!$D$19:$M$19</definedName>
    <definedName name="OSRRefD14_2x" localSheetId="59">'326'!$D$36:$M$36</definedName>
    <definedName name="OSRRefD14_2x" localSheetId="52">'330'!$D$29:$M$29</definedName>
    <definedName name="OSRRefD14_2x" localSheetId="57">'331'!$D$53:$M$53</definedName>
    <definedName name="OSRRefD14_2x" localSheetId="80">'415'!$D$19:$M$19</definedName>
    <definedName name="OSRRefD14_2x" localSheetId="89">'433'!$D$19:$M$19</definedName>
    <definedName name="OSRRefD14_2x" localSheetId="91">'444'!$D$19:$M$19</definedName>
    <definedName name="OSRRefD14_2x" localSheetId="73">'491'!$D$22:$M$22</definedName>
    <definedName name="OSRRefD14_2x" localSheetId="87">'492'!$D$19:$M$19</definedName>
    <definedName name="OSRRefD14_2x" localSheetId="47">'Div 3'!$D$82:$M$82</definedName>
    <definedName name="OSRRefD14_2x" localSheetId="71">'Div 4'!$D$24:$M$24</definedName>
    <definedName name="OSRRefD14_2x" localSheetId="62">'Div 6'!$D$34:$M$34</definedName>
    <definedName name="OSRRefD14_2x" localSheetId="2">Summary!$D$103:$M$103</definedName>
    <definedName name="OSRRefD14_30x" localSheetId="48">'300'!$D$108:$M$108</definedName>
    <definedName name="OSRRefD14_30x" localSheetId="49">'300 &amp; 317'!$D$123:$M$123</definedName>
    <definedName name="OSRRefD14_30x" localSheetId="47">'Div 3'!$D$110:$M$110</definedName>
    <definedName name="OSRRefD14_30x" localSheetId="2">Summary!$D$131:$M$131</definedName>
    <definedName name="OSRRefD14_31x" localSheetId="48">'300'!$D$109:$M$109</definedName>
    <definedName name="OSRRefD14_31x" localSheetId="49">'300 &amp; 317'!$D$124:$M$124</definedName>
    <definedName name="OSRRefD14_31x" localSheetId="47">'Div 3'!$D$111:$M$111</definedName>
    <definedName name="OSRRefD14_31x" localSheetId="2">Summary!$D$132:$M$132</definedName>
    <definedName name="OSRRefD14_32x" localSheetId="48">'300'!$D$110:$M$110</definedName>
    <definedName name="OSRRefD14_32x" localSheetId="49">'300 &amp; 317'!$D$125:$M$125</definedName>
    <definedName name="OSRRefD14_32x" localSheetId="47">'Div 3'!$D$112:$M$112</definedName>
    <definedName name="OSRRefD14_32x" localSheetId="2">Summary!$D$133:$M$133</definedName>
    <definedName name="OSRRefD14_33x" localSheetId="48">'300'!$D$111:$M$111</definedName>
    <definedName name="OSRRefD14_33x" localSheetId="49">'300 &amp; 317'!$D$126:$M$126</definedName>
    <definedName name="OSRRefD14_33x" localSheetId="47">'Div 3'!$D$113:$M$113</definedName>
    <definedName name="OSRRefD14_33x" localSheetId="2">Summary!$D$134:$M$134</definedName>
    <definedName name="OSRRefD14_34x" localSheetId="48">'300'!$D$112:$M$112</definedName>
    <definedName name="OSRRefD14_34x" localSheetId="49">'300 &amp; 317'!$D$127:$M$127</definedName>
    <definedName name="OSRRefD14_34x" localSheetId="47">'Div 3'!$D$114:$M$114</definedName>
    <definedName name="OSRRefD14_34x" localSheetId="2">Summary!$D$135:$M$135</definedName>
    <definedName name="OSRRefD14_35x" localSheetId="48">'300'!$D$113:$M$113</definedName>
    <definedName name="OSRRefD14_35x" localSheetId="49">'300 &amp; 317'!$D$128:$M$128</definedName>
    <definedName name="OSRRefD14_35x" localSheetId="47">'Div 3'!$D$115:$M$115</definedName>
    <definedName name="OSRRefD14_35x" localSheetId="2">Summary!$D$136:$M$136</definedName>
    <definedName name="OSRRefD14_36x" localSheetId="48">'300'!$D$114:$M$114</definedName>
    <definedName name="OSRRefD14_36x" localSheetId="49">'300 &amp; 317'!$D$129:$M$129</definedName>
    <definedName name="OSRRefD14_36x" localSheetId="47">'Div 3'!$D$116:$M$116</definedName>
    <definedName name="OSRRefD14_36x" localSheetId="2">Summary!$D$137:$M$137</definedName>
    <definedName name="OSRRefD14_37x" localSheetId="48">'300'!$D$115:$M$115</definedName>
    <definedName name="OSRRefD14_37x" localSheetId="49">'300 &amp; 317'!$D$130:$M$130</definedName>
    <definedName name="OSRRefD14_37x" localSheetId="47">'Div 3'!$D$117:$M$117</definedName>
    <definedName name="OSRRefD14_37x" localSheetId="2">Summary!$D$138:$M$138</definedName>
    <definedName name="OSRRefD14_38x" localSheetId="48">'300'!$D$116:$M$116</definedName>
    <definedName name="OSRRefD14_38x" localSheetId="49">'300 &amp; 317'!$D$131:$M$131</definedName>
    <definedName name="OSRRefD14_38x" localSheetId="47">'Div 3'!$D$118:$M$118</definedName>
    <definedName name="OSRRefD14_38x" localSheetId="2">Summary!$D$139:$M$139</definedName>
    <definedName name="OSRRefD14_39x" localSheetId="49">'300 &amp; 317'!$D$132:$M$132</definedName>
    <definedName name="OSRRefD14_39x" localSheetId="47">'Div 3'!$D$119:$M$119</definedName>
    <definedName name="OSRRefD14_39x" localSheetId="2">Summary!$D$140:$M$140</definedName>
    <definedName name="OSRRefD14_3x" localSheetId="48">'300'!$D$81:$M$81</definedName>
    <definedName name="OSRRefD14_3x" localSheetId="49">'300 &amp; 317'!$D$96:$M$96</definedName>
    <definedName name="OSRRefD14_3x" localSheetId="53">'307'!$D$27:$M$27</definedName>
    <definedName name="OSRRefD14_3x" localSheetId="54">'308'!$D$39:$M$39</definedName>
    <definedName name="OSRRefD14_3x" localSheetId="55">'311'!$D$38:$M$38</definedName>
    <definedName name="OSRRefD14_3x" localSheetId="58">'315'!$D$54:$M$54</definedName>
    <definedName name="OSRRefD14_3x" localSheetId="63">'317'!$D$35:$M$35</definedName>
    <definedName name="OSRRefD14_3x" localSheetId="59">'326'!$D$37:$M$37</definedName>
    <definedName name="OSRRefD14_3x" localSheetId="52">'330'!$D$30:$M$30</definedName>
    <definedName name="OSRRefD14_3x" localSheetId="57">'331'!$D$54:$M$54</definedName>
    <definedName name="OSRRefD14_3x" localSheetId="47">'Div 3'!$D$83:$M$83</definedName>
    <definedName name="OSRRefD14_3x" localSheetId="62">'Div 6'!$D$35:$M$35</definedName>
    <definedName name="OSRRefD14_3x" localSheetId="2">Summary!$D$104:$M$104</definedName>
    <definedName name="OSRRefD14_40x" localSheetId="49">'300 &amp; 317'!$D$133:$M$133</definedName>
    <definedName name="OSRRefD14_40x" localSheetId="47">'Div 3'!$D$120:$M$120</definedName>
    <definedName name="OSRRefD14_40x" localSheetId="2">Summary!$D$141:$M$141</definedName>
    <definedName name="OSRRefD14_41x" localSheetId="49">'300 &amp; 317'!$D$134:$M$134</definedName>
    <definedName name="OSRRefD14_41x" localSheetId="2">Summary!$D$142:$M$142</definedName>
    <definedName name="OSRRefD14_42x" localSheetId="49">'300 &amp; 317'!$D$135:$M$135</definedName>
    <definedName name="OSRRefD14_42x" localSheetId="2">Summary!$D$143:$M$143</definedName>
    <definedName name="OSRRefD14_43x" localSheetId="49">'300 &amp; 317'!$D$136:$M$136</definedName>
    <definedName name="OSRRefD14_43x" localSheetId="2">Summary!$D$144:$M$144</definedName>
    <definedName name="OSRRefD14_44x" localSheetId="49">'300 &amp; 317'!$D$137:$M$137</definedName>
    <definedName name="OSRRefD14_44x" localSheetId="2">Summary!$D$145:$M$145</definedName>
    <definedName name="OSRRefD14_45x" localSheetId="49">'300 &amp; 317'!$D$138:$M$138</definedName>
    <definedName name="OSRRefD14_45x" localSheetId="2">Summary!$D$146:$M$146</definedName>
    <definedName name="OSRRefD14_46x" localSheetId="49">'300 &amp; 317'!$D$139:$M$139</definedName>
    <definedName name="OSRRefD14_46x" localSheetId="2">Summary!$D$147:$M$147</definedName>
    <definedName name="OSRRefD14_47x" localSheetId="49">'300 &amp; 317'!$D$140:$M$140</definedName>
    <definedName name="OSRRefD14_47x" localSheetId="2">Summary!$D$148:$M$148</definedName>
    <definedName name="OSRRefD14_48x" localSheetId="2">Summary!$D$149:$M$149</definedName>
    <definedName name="OSRRefD14_49x" localSheetId="2">Summary!$D$150:$M$150</definedName>
    <definedName name="OSRRefD14_4x" localSheetId="48">'300'!$D$82:$M$82</definedName>
    <definedName name="OSRRefD14_4x" localSheetId="49">'300 &amp; 317'!$D$97:$M$97</definedName>
    <definedName name="OSRRefD14_4x" localSheetId="53">'307'!$D$28:$M$28</definedName>
    <definedName name="OSRRefD14_4x" localSheetId="54">'308'!$D$40:$M$40</definedName>
    <definedName name="OSRRefD14_4x" localSheetId="55">'311'!$D$39:$M$39</definedName>
    <definedName name="OSRRefD14_4x" localSheetId="58">'315'!$D$55:$M$55</definedName>
    <definedName name="OSRRefD14_4x" localSheetId="63">'317'!$D$36:$M$36</definedName>
    <definedName name="OSRRefD14_4x" localSheetId="59">'326'!$D$38:$M$38</definedName>
    <definedName name="OSRRefD14_4x" localSheetId="52">'330'!$D$31:$M$31</definedName>
    <definedName name="OSRRefD14_4x" localSheetId="57">'331'!$D$55:$M$55</definedName>
    <definedName name="OSRRefD14_4x" localSheetId="47">'Div 3'!$D$84:$M$84</definedName>
    <definedName name="OSRRefD14_4x" localSheetId="62">'Div 6'!$D$36:$M$36</definedName>
    <definedName name="OSRRefD14_4x" localSheetId="2">Summary!$D$105:$M$105</definedName>
    <definedName name="OSRRefD14_5x" localSheetId="48">'300'!$D$83:$M$83</definedName>
    <definedName name="OSRRefD14_5x" localSheetId="49">'300 &amp; 317'!$D$98:$M$98</definedName>
    <definedName name="OSRRefD14_5x" localSheetId="53">'307'!$D$29:$M$29</definedName>
    <definedName name="OSRRefD14_5x" localSheetId="54">'308'!$D$41:$M$41</definedName>
    <definedName name="OSRRefD14_5x" localSheetId="55">'311'!$D$40:$M$40</definedName>
    <definedName name="OSRRefD14_5x" localSheetId="58">'315'!$D$56:$M$56</definedName>
    <definedName name="OSRRefD14_5x" localSheetId="63">'317'!$D$37:$M$37</definedName>
    <definedName name="OSRRefD14_5x" localSheetId="59">'326'!$D$39:$M$39</definedName>
    <definedName name="OSRRefD14_5x" localSheetId="52">'330'!$D$32:$M$32</definedName>
    <definedName name="OSRRefD14_5x" localSheetId="57">'331'!$D$56:$M$56</definedName>
    <definedName name="OSRRefD14_5x" localSheetId="47">'Div 3'!$D$85:$M$85</definedName>
    <definedName name="OSRRefD14_5x" localSheetId="62">'Div 6'!$D$37:$M$37</definedName>
    <definedName name="OSRRefD14_5x" localSheetId="2">Summary!$D$106:$M$106</definedName>
    <definedName name="OSRRefD14_6x" localSheetId="48">'300'!$D$84:$M$84</definedName>
    <definedName name="OSRRefD14_6x" localSheetId="49">'300 &amp; 317'!$D$99:$M$99</definedName>
    <definedName name="OSRRefD14_6x" localSheetId="53">'307'!$D$30:$M$30</definedName>
    <definedName name="OSRRefD14_6x" localSheetId="54">'308'!$D$42:$M$42</definedName>
    <definedName name="OSRRefD14_6x" localSheetId="55">'311'!$D$41:$M$41</definedName>
    <definedName name="OSRRefD14_6x" localSheetId="58">'315'!$D$57:$M$57</definedName>
    <definedName name="OSRRefD14_6x" localSheetId="63">'317'!$D$38:$M$38</definedName>
    <definedName name="OSRRefD14_6x" localSheetId="59">'326'!$D$40:$M$40</definedName>
    <definedName name="OSRRefD14_6x" localSheetId="52">'330'!$D$33:$M$33</definedName>
    <definedName name="OSRRefD14_6x" localSheetId="57">'331'!$D$57:$M$57</definedName>
    <definedName name="OSRRefD14_6x" localSheetId="47">'Div 3'!$D$86:$M$86</definedName>
    <definedName name="OSRRefD14_6x" localSheetId="62">'Div 6'!$D$38:$M$38</definedName>
    <definedName name="OSRRefD14_6x" localSheetId="2">Summary!$D$107:$M$107</definedName>
    <definedName name="OSRRefD14_7x" localSheetId="48">'300'!$D$85:$M$85</definedName>
    <definedName name="OSRRefD14_7x" localSheetId="49">'300 &amp; 317'!$D$100:$M$100</definedName>
    <definedName name="OSRRefD14_7x" localSheetId="53">'307'!$D$31:$M$31</definedName>
    <definedName name="OSRRefD14_7x" localSheetId="54">'308'!$D$43:$M$43</definedName>
    <definedName name="OSRRefD14_7x" localSheetId="55">'311'!$D$42:$M$42</definedName>
    <definedName name="OSRRefD14_7x" localSheetId="58">'315'!$D$58:$M$58</definedName>
    <definedName name="OSRRefD14_7x" localSheetId="63">'317'!$D$39:$M$39</definedName>
    <definedName name="OSRRefD14_7x" localSheetId="52">'330'!$D$34:$M$34</definedName>
    <definedName name="OSRRefD14_7x" localSheetId="57">'331'!$D$58:$M$58</definedName>
    <definedName name="OSRRefD14_7x" localSheetId="47">'Div 3'!$D$87:$M$87</definedName>
    <definedName name="OSRRefD14_7x" localSheetId="62">'Div 6'!$D$39:$M$39</definedName>
    <definedName name="OSRRefD14_7x" localSheetId="2">Summary!$D$108:$M$108</definedName>
    <definedName name="OSRRefD14_8x" localSheetId="48">'300'!$D$86:$M$86</definedName>
    <definedName name="OSRRefD14_8x" localSheetId="49">'300 &amp; 317'!$D$101:$M$101</definedName>
    <definedName name="OSRRefD14_8x" localSheetId="54">'308'!$D$44:$M$44</definedName>
    <definedName name="OSRRefD14_8x" localSheetId="55">'311'!$D$43:$M$43</definedName>
    <definedName name="OSRRefD14_8x" localSheetId="58">'315'!$D$59:$M$59</definedName>
    <definedName name="OSRRefD14_8x" localSheetId="63">'317'!$D$40:$M$40</definedName>
    <definedName name="OSRRefD14_8x" localSheetId="57">'331'!$D$59:$M$59</definedName>
    <definedName name="OSRRefD14_8x" localSheetId="47">'Div 3'!$D$88:$M$88</definedName>
    <definedName name="OSRRefD14_8x" localSheetId="62">'Div 6'!$D$40:$M$40</definedName>
    <definedName name="OSRRefD14_8x" localSheetId="2">Summary!$D$109:$M$109</definedName>
    <definedName name="OSRRefD14_9x" localSheetId="48">'300'!$D$87:$M$87</definedName>
    <definedName name="OSRRefD14_9x" localSheetId="49">'300 &amp; 317'!$D$102:$M$102</definedName>
    <definedName name="OSRRefD14_9x" localSheetId="54">'308'!$D$45:$M$45</definedName>
    <definedName name="OSRRefD14_9x" localSheetId="55">'311'!$D$44:$M$44</definedName>
    <definedName name="OSRRefD14_9x" localSheetId="58">'315'!$D$60:$M$60</definedName>
    <definedName name="OSRRefD14_9x" localSheetId="63">'317'!$D$41:$M$41</definedName>
    <definedName name="OSRRefD14_9x" localSheetId="57">'331'!$D$60:$M$60</definedName>
    <definedName name="OSRRefD14_9x" localSheetId="47">'Div 3'!$D$89:$M$89</definedName>
    <definedName name="OSRRefD14_9x" localSheetId="62">'Div 6'!$D$41:$M$41</definedName>
    <definedName name="OSRRefD14_9x" localSheetId="2">Summary!$D$110:$M$110</definedName>
    <definedName name="OSRRefD14x_0" localSheetId="48">'300'!$D$78:$D$116</definedName>
    <definedName name="OSRRefD14x_0" localSheetId="49">'300 &amp; 317'!$D$93:$D$140</definedName>
    <definedName name="OSRRefD14x_0" localSheetId="50">'301'!$D$13</definedName>
    <definedName name="OSRRefD14x_0" localSheetId="53">'307'!$D$24:$D$31</definedName>
    <definedName name="OSRRefD14x_0" localSheetId="54">'308'!$D$36:$D$51</definedName>
    <definedName name="OSRRefD14x_0" localSheetId="65">'309'!$D$14</definedName>
    <definedName name="OSRRefD14x_0" localSheetId="64">'310'!$D$20:$D$22</definedName>
    <definedName name="OSRRefD14x_0" localSheetId="72">'310 &amp; 491'!$D$26:$D$28</definedName>
    <definedName name="OSRRefD14x_0" localSheetId="55">'311'!$D$35:$D$50</definedName>
    <definedName name="OSRRefD14x_0" localSheetId="66">'313'!$D$17</definedName>
    <definedName name="OSRRefD14x_0" localSheetId="58">'315'!$D$51:$D$73</definedName>
    <definedName name="OSRRefD14x_0" localSheetId="63">'317'!$D$32:$D$45</definedName>
    <definedName name="OSRRefD14x_0" localSheetId="67">'321'!$D$15:$D$16</definedName>
    <definedName name="OSRRefD14x_0" localSheetId="68">'322'!$D$14:$D$15</definedName>
    <definedName name="OSRRefD14x_0" localSheetId="56">'324'!$D$17:$D$19</definedName>
    <definedName name="OSRRefD14x_0" localSheetId="69">'325'!$D$13:$D$14</definedName>
    <definedName name="OSRRefD14x_0" localSheetId="59">'326'!$D$34:$D$40</definedName>
    <definedName name="OSRRefD14x_0" localSheetId="70">'327'!$D$15:$D$16</definedName>
    <definedName name="OSRRefD14x_0" localSheetId="52">'330'!$D$27:$D$34</definedName>
    <definedName name="OSRRefD14x_0" localSheetId="57">'331'!$D$51:$D$74</definedName>
    <definedName name="OSRRefD14x_0" localSheetId="60">'332'!$D$25:$D$26</definedName>
    <definedName name="OSRRefD14x_0" localSheetId="74">'405'!$D$15:$D$16</definedName>
    <definedName name="OSRRefD14x_0" localSheetId="77">'412'!$D$14</definedName>
    <definedName name="OSRRefD14x_0" localSheetId="78">'413'!$D$15</definedName>
    <definedName name="OSRRefD14x_0" localSheetId="79">'414'!$D$16:$D$17</definedName>
    <definedName name="OSRRefD14x_0" localSheetId="80">'415'!$D$17:$D$19</definedName>
    <definedName name="OSRRefD14x_0" localSheetId="81">'418'!$D$15:$D$16</definedName>
    <definedName name="OSRRefD14x_0" localSheetId="85">'425'!$D$13</definedName>
    <definedName name="OSRRefD14x_0" localSheetId="89">'433'!$D$17:$D$19</definedName>
    <definedName name="OSRRefD14x_0" localSheetId="91">'444'!$D$17:$D$19</definedName>
    <definedName name="OSRRefD14x_0" localSheetId="92">'450'!$D$15</definedName>
    <definedName name="OSRRefD14x_0" localSheetId="73">'491'!$D$20:$D$22</definedName>
    <definedName name="OSRRefD14x_0" localSheetId="87">'492'!$D$17:$D$19</definedName>
    <definedName name="OSRRefD14x_0" localSheetId="47">'Div 3'!$D$80:$D$120</definedName>
    <definedName name="OSRRefD14x_0" localSheetId="71">'Div 4'!$D$22:$D$24</definedName>
    <definedName name="OSRRefD14x_0" localSheetId="62">'Div 6'!$D$32:$D$45</definedName>
    <definedName name="OSRRefD14x_0" localSheetId="2">Summary!$D$101:$D$150</definedName>
    <definedName name="OSRRefD14x_1" localSheetId="48">'300'!$E$78:$E$116</definedName>
    <definedName name="OSRRefD14x_1" localSheetId="49">'300 &amp; 317'!$E$93:$E$140</definedName>
    <definedName name="OSRRefD14x_1" localSheetId="50">'301'!$E$13</definedName>
    <definedName name="OSRRefD14x_1" localSheetId="53">'307'!$E$24:$E$31</definedName>
    <definedName name="OSRRefD14x_1" localSheetId="54">'308'!$E$36:$E$51</definedName>
    <definedName name="OSRRefD14x_1" localSheetId="65">'309'!$E$14</definedName>
    <definedName name="OSRRefD14x_1" localSheetId="64">'310'!$E$20:$E$22</definedName>
    <definedName name="OSRRefD14x_1" localSheetId="72">'310 &amp; 491'!$E$26:$E$28</definedName>
    <definedName name="OSRRefD14x_1" localSheetId="55">'311'!$E$35:$E$50</definedName>
    <definedName name="OSRRefD14x_1" localSheetId="66">'313'!$E$17</definedName>
    <definedName name="OSRRefD14x_1" localSheetId="58">'315'!$E$51:$E$73</definedName>
    <definedName name="OSRRefD14x_1" localSheetId="63">'317'!$E$32:$E$45</definedName>
    <definedName name="OSRRefD14x_1" localSheetId="67">'321'!$E$15:$E$16</definedName>
    <definedName name="OSRRefD14x_1" localSheetId="68">'322'!$E$14:$E$15</definedName>
    <definedName name="OSRRefD14x_1" localSheetId="56">'324'!$E$17:$E$19</definedName>
    <definedName name="OSRRefD14x_1" localSheetId="69">'325'!$E$13:$E$14</definedName>
    <definedName name="OSRRefD14x_1" localSheetId="59">'326'!$E$34:$E$40</definedName>
    <definedName name="OSRRefD14x_1" localSheetId="70">'327'!$E$15:$E$16</definedName>
    <definedName name="OSRRefD14x_1" localSheetId="52">'330'!$E$27:$E$34</definedName>
    <definedName name="OSRRefD14x_1" localSheetId="57">'331'!$E$51:$E$74</definedName>
    <definedName name="OSRRefD14x_1" localSheetId="60">'332'!$E$25:$E$26</definedName>
    <definedName name="OSRRefD14x_1" localSheetId="74">'405'!$E$15:$E$16</definedName>
    <definedName name="OSRRefD14x_1" localSheetId="77">'412'!$E$14</definedName>
    <definedName name="OSRRefD14x_1" localSheetId="78">'413'!$E$15</definedName>
    <definedName name="OSRRefD14x_1" localSheetId="79">'414'!$E$16:$E$17</definedName>
    <definedName name="OSRRefD14x_1" localSheetId="80">'415'!$E$17:$E$19</definedName>
    <definedName name="OSRRefD14x_1" localSheetId="81">'418'!$E$15:$E$16</definedName>
    <definedName name="OSRRefD14x_1" localSheetId="85">'425'!$E$13</definedName>
    <definedName name="OSRRefD14x_1" localSheetId="89">'433'!$E$17:$E$19</definedName>
    <definedName name="OSRRefD14x_1" localSheetId="91">'444'!$E$17:$E$19</definedName>
    <definedName name="OSRRefD14x_1" localSheetId="92">'450'!$E$15</definedName>
    <definedName name="OSRRefD14x_1" localSheetId="73">'491'!$E$20:$E$22</definedName>
    <definedName name="OSRRefD14x_1" localSheetId="87">'492'!$E$17:$E$19</definedName>
    <definedName name="OSRRefD14x_1" localSheetId="47">'Div 3'!$E$80:$E$120</definedName>
    <definedName name="OSRRefD14x_1" localSheetId="71">'Div 4'!$E$22:$E$24</definedName>
    <definedName name="OSRRefD14x_1" localSheetId="62">'Div 6'!$E$32:$E$45</definedName>
    <definedName name="OSRRefD14x_1" localSheetId="2">Summary!$E$101:$E$150</definedName>
    <definedName name="OSRRefD14x_2" localSheetId="48">'300'!$F$78:$F$116</definedName>
    <definedName name="OSRRefD14x_2" localSheetId="49">'300 &amp; 317'!$F$93:$F$140</definedName>
    <definedName name="OSRRefD14x_2" localSheetId="50">'301'!$F$13</definedName>
    <definedName name="OSRRefD14x_2" localSheetId="53">'307'!$F$24:$F$31</definedName>
    <definedName name="OSRRefD14x_2" localSheetId="54">'308'!$F$36:$F$51</definedName>
    <definedName name="OSRRefD14x_2" localSheetId="65">'309'!$F$14</definedName>
    <definedName name="OSRRefD14x_2" localSheetId="64">'310'!$F$20:$F$22</definedName>
    <definedName name="OSRRefD14x_2" localSheetId="72">'310 &amp; 491'!$F$26:$F$28</definedName>
    <definedName name="OSRRefD14x_2" localSheetId="55">'311'!$F$35:$F$50</definedName>
    <definedName name="OSRRefD14x_2" localSheetId="66">'313'!$F$17</definedName>
    <definedName name="OSRRefD14x_2" localSheetId="58">'315'!$F$51:$F$73</definedName>
    <definedName name="OSRRefD14x_2" localSheetId="63">'317'!$F$32:$F$45</definedName>
    <definedName name="OSRRefD14x_2" localSheetId="67">'321'!$F$15:$F$16</definedName>
    <definedName name="OSRRefD14x_2" localSheetId="68">'322'!$F$14:$F$15</definedName>
    <definedName name="OSRRefD14x_2" localSheetId="56">'324'!$F$17:$F$19</definedName>
    <definedName name="OSRRefD14x_2" localSheetId="69">'325'!$F$13:$F$14</definedName>
    <definedName name="OSRRefD14x_2" localSheetId="59">'326'!$F$34:$F$40</definedName>
    <definedName name="OSRRefD14x_2" localSheetId="70">'327'!$F$15:$F$16</definedName>
    <definedName name="OSRRefD14x_2" localSheetId="52">'330'!$F$27:$F$34</definedName>
    <definedName name="OSRRefD14x_2" localSheetId="57">'331'!$F$51:$F$74</definedName>
    <definedName name="OSRRefD14x_2" localSheetId="60">'332'!$F$25:$F$26</definedName>
    <definedName name="OSRRefD14x_2" localSheetId="74">'405'!$F$15:$F$16</definedName>
    <definedName name="OSRRefD14x_2" localSheetId="77">'412'!$F$14</definedName>
    <definedName name="OSRRefD14x_2" localSheetId="78">'413'!$F$15</definedName>
    <definedName name="OSRRefD14x_2" localSheetId="79">'414'!$F$16:$F$17</definedName>
    <definedName name="OSRRefD14x_2" localSheetId="80">'415'!$F$17:$F$19</definedName>
    <definedName name="OSRRefD14x_2" localSheetId="81">'418'!$F$15:$F$16</definedName>
    <definedName name="OSRRefD14x_2" localSheetId="85">'425'!$F$13</definedName>
    <definedName name="OSRRefD14x_2" localSheetId="89">'433'!$F$17:$F$19</definedName>
    <definedName name="OSRRefD14x_2" localSheetId="91">'444'!$F$17:$F$19</definedName>
    <definedName name="OSRRefD14x_2" localSheetId="92">'450'!$F$15</definedName>
    <definedName name="OSRRefD14x_2" localSheetId="73">'491'!$F$20:$F$22</definedName>
    <definedName name="OSRRefD14x_2" localSheetId="87">'492'!$F$17:$F$19</definedName>
    <definedName name="OSRRefD14x_2" localSheetId="47">'Div 3'!$F$80:$F$120</definedName>
    <definedName name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_3" localSheetId="48">'300'!$G$78:$G$116</definedName>
    <definedName name="OSRRefD14x_3" localSheetId="49">'300 &amp; 317'!$G$93:$G$140</definedName>
    <definedName name="OSRRefD14x_3" localSheetId="50">'301'!$G$13</definedName>
    <definedName name="OSRRefD14x_3" localSheetId="53">'307'!$G$24:$G$31</definedName>
    <definedName name="OSRRefD14x_3" localSheetId="54">'308'!$G$36:$G$51</definedName>
    <definedName name="OSRRefD14x_3" localSheetId="65">'309'!$G$14</definedName>
    <definedName name="OSRRefD14x_3" localSheetId="64">'310'!$G$20:$G$22</definedName>
    <definedName name="OSRRefD14x_3" localSheetId="72">'310 &amp; 491'!$G$26:$G$28</definedName>
    <definedName name="OSRRefD14x_3" localSheetId="55">'311'!$G$35:$G$50</definedName>
    <definedName name="OSRRefD14x_3" localSheetId="66">'313'!$G$17</definedName>
    <definedName name="OSRRefD14x_3" localSheetId="58">'315'!$G$51:$G$73</definedName>
    <definedName name="OSRRefD14x_3" localSheetId="63">'317'!$G$32:$G$45</definedName>
    <definedName name="OSRRefD14x_3" localSheetId="67">'321'!$G$15:$G$16</definedName>
    <definedName name="OSRRefD14x_3" localSheetId="68">'322'!$G$14:$G$15</definedName>
    <definedName name="OSRRefD14x_3" localSheetId="56">'324'!$G$17:$G$19</definedName>
    <definedName name="OSRRefD14x_3" localSheetId="69">'325'!$G$13:$G$14</definedName>
    <definedName name="OSRRefD14x_3" localSheetId="59">'326'!$G$34:$G$40</definedName>
    <definedName name="OSRRefD14x_3" localSheetId="70">'327'!$G$15:$G$16</definedName>
    <definedName name="OSRRefD14x_3" localSheetId="52">'330'!$G$27:$G$34</definedName>
    <definedName name="OSRRefD14x_3" localSheetId="57">'331'!$G$51:$G$74</definedName>
    <definedName name="OSRRefD14x_3" localSheetId="60">'332'!$G$25:$G$26</definedName>
    <definedName name="OSRRefD14x_3" localSheetId="74">'405'!$G$15:$G$16</definedName>
    <definedName name="OSRRefD14x_3" localSheetId="77">'412'!$G$14</definedName>
    <definedName name="OSRRefD14x_3" localSheetId="78">'413'!$G$15</definedName>
    <definedName name="OSRRefD14x_3" localSheetId="79">'414'!$G$16:$G$17</definedName>
    <definedName name="OSRRefD14x_3" localSheetId="80">'415'!$G$17:$G$19</definedName>
    <definedName name="OSRRefD14x_3" localSheetId="81">'418'!$G$15:$G$16</definedName>
    <definedName name="OSRRefD14x_3" localSheetId="85">'425'!$G$13</definedName>
    <definedName name="OSRRefD14x_3" localSheetId="89">'433'!$G$17:$G$19</definedName>
    <definedName name="OSRRefD14x_3" localSheetId="91">'444'!$G$17:$G$19</definedName>
    <definedName name="OSRRefD14x_3" localSheetId="92">'450'!$G$15</definedName>
    <definedName name="OSRRefD14x_3" localSheetId="73">'491'!$G$20:$G$22</definedName>
    <definedName name="OSRRefD14x_3" localSheetId="87">'492'!$G$17:$G$19</definedName>
    <definedName name="OSRRefD14x_3" localSheetId="47">'Div 3'!$G$80:$G$120</definedName>
    <definedName name="OSRRefD14x_3" localSheetId="71">'Div 4'!$G$22:$G$24</definedName>
    <definedName name="OSRRefD14x_3" localSheetId="62">'Div 6'!$G$32:$G$45</definedName>
    <definedName name="OSRRefD14x_3" localSheetId="2">Summary!$G$101:$G$150</definedName>
    <definedName name="OSRRefD14x_4" localSheetId="48">'300'!$H$78:$H$116</definedName>
    <definedName name="OSRRefD14x_4" localSheetId="49">'300 &amp; 317'!$H$93:$H$140</definedName>
    <definedName name="OSRRefD14x_4" localSheetId="50">'301'!$H$13</definedName>
    <definedName name="OSRRefD14x_4" localSheetId="53">'307'!$H$24:$H$31</definedName>
    <definedName name="OSRRefD14x_4" localSheetId="54">'308'!$H$36:$H$51</definedName>
    <definedName name="OSRRefD14x_4" localSheetId="65">'309'!$H$14</definedName>
    <definedName name="OSRRefD14x_4" localSheetId="64">'310'!$H$20:$H$22</definedName>
    <definedName name="OSRRefD14x_4" localSheetId="72">'310 &amp; 491'!$H$26:$H$28</definedName>
    <definedName name="OSRRefD14x_4" localSheetId="55">'311'!$H$35:$H$50</definedName>
    <definedName name="OSRRefD14x_4" localSheetId="66">'313'!$H$17</definedName>
    <definedName name="OSRRefD14x_4" localSheetId="58">'315'!$H$51:$H$73</definedName>
    <definedName name="OSRRefD14x_4" localSheetId="63">'317'!$H$32:$H$45</definedName>
    <definedName name="OSRRefD14x_4" localSheetId="67">'321'!$H$15:$H$16</definedName>
    <definedName name="OSRRefD14x_4" localSheetId="68">'322'!$H$14:$H$15</definedName>
    <definedName name="OSRRefD14x_4" localSheetId="56">'324'!$H$17:$H$19</definedName>
    <definedName name="OSRRefD14x_4" localSheetId="69">'325'!$H$13:$H$14</definedName>
    <definedName name="OSRRefD14x_4" localSheetId="59">'326'!$H$34:$H$40</definedName>
    <definedName name="OSRRefD14x_4" localSheetId="70">'327'!$H$15:$H$16</definedName>
    <definedName name="OSRRefD14x_4" localSheetId="52">'330'!$H$27:$H$34</definedName>
    <definedName name="OSRRefD14x_4" localSheetId="57">'331'!$H$51:$H$74</definedName>
    <definedName name="OSRRefD14x_4" localSheetId="60">'332'!$H$25:$H$26</definedName>
    <definedName name="OSRRefD14x_4" localSheetId="74">'405'!$H$15:$H$16</definedName>
    <definedName name="OSRRefD14x_4" localSheetId="77">'412'!$H$14</definedName>
    <definedName name="OSRRefD14x_4" localSheetId="78">'413'!$H$15</definedName>
    <definedName name="OSRRefD14x_4" localSheetId="79">'414'!$H$16:$H$17</definedName>
    <definedName name="OSRRefD14x_4" localSheetId="80">'415'!$H$17:$H$19</definedName>
    <definedName name="OSRRefD14x_4" localSheetId="81">'418'!$H$15:$H$16</definedName>
    <definedName name="OSRRefD14x_4" localSheetId="85">'425'!$H$13</definedName>
    <definedName name="OSRRefD14x_4" localSheetId="89">'433'!$H$17:$H$19</definedName>
    <definedName name="OSRRefD14x_4" localSheetId="91">'444'!$H$17:$H$19</definedName>
    <definedName name="OSRRefD14x_4" localSheetId="92">'450'!$H$15</definedName>
    <definedName name="OSRRefD14x_4" localSheetId="73">'491'!$H$20:$H$22</definedName>
    <definedName name="OSRRefD14x_4" localSheetId="87">'492'!$H$17:$H$19</definedName>
    <definedName name="OSRRefD14x_4" localSheetId="47">'Div 3'!$H$80:$H$120</definedName>
    <definedName name="OSRRefD14x_4" localSheetId="71">'Div 4'!$H$22:$H$24</definedName>
    <definedName name="OSRRefD14x_4" localSheetId="62">'Div 6'!$H$32:$H$45</definedName>
    <definedName name="OSRRefD14x_4" localSheetId="2">Summary!$H$101:$H$150</definedName>
    <definedName name="OSRRefD14x_5" localSheetId="48">'300'!$I$78:$I$116</definedName>
    <definedName name="OSRRefD14x_5" localSheetId="49">'300 &amp; 317'!$I$93:$I$140</definedName>
    <definedName name="OSRRefD14x_5" localSheetId="50">'301'!$I$13</definedName>
    <definedName name="OSRRefD14x_5" localSheetId="53">'307'!$I$24:$I$31</definedName>
    <definedName name="OSRRefD14x_5" localSheetId="54">'308'!$I$36:$I$51</definedName>
    <definedName name="OSRRefD14x_5" localSheetId="65">'309'!$I$14</definedName>
    <definedName name="OSRRefD14x_5" localSheetId="64">'310'!$I$20:$I$22</definedName>
    <definedName name="OSRRefD14x_5" localSheetId="72">'310 &amp; 491'!$I$26:$I$28</definedName>
    <definedName name="OSRRefD14x_5" localSheetId="55">'311'!$I$35:$I$50</definedName>
    <definedName name="OSRRefD14x_5" localSheetId="66">'313'!$I$17</definedName>
    <definedName name="OSRRefD14x_5" localSheetId="58">'315'!$I$51:$I$73</definedName>
    <definedName name="OSRRefD14x_5" localSheetId="63">'317'!$I$32:$I$45</definedName>
    <definedName name="OSRRefD14x_5" localSheetId="67">'321'!$I$15:$I$16</definedName>
    <definedName name="OSRRefD14x_5" localSheetId="68">'322'!$I$14:$I$15</definedName>
    <definedName name="OSRRefD14x_5" localSheetId="56">'324'!$I$17:$I$19</definedName>
    <definedName name="OSRRefD14x_5" localSheetId="69">'325'!$I$13:$I$14</definedName>
    <definedName name="OSRRefD14x_5" localSheetId="59">'326'!$I$34:$I$40</definedName>
    <definedName name="OSRRefD14x_5" localSheetId="70">'327'!$I$15:$I$16</definedName>
    <definedName name="OSRRefD14x_5" localSheetId="52">'330'!$I$27:$I$34</definedName>
    <definedName name="OSRRefD14x_5" localSheetId="57">'331'!$I$51:$I$74</definedName>
    <definedName name="OSRRefD14x_5" localSheetId="60">'332'!$I$25:$I$26</definedName>
    <definedName name="OSRRefD14x_5" localSheetId="74">'405'!$I$15:$I$16</definedName>
    <definedName name="OSRRefD14x_5" localSheetId="77">'412'!$I$14</definedName>
    <definedName name="OSRRefD14x_5" localSheetId="78">'413'!$I$15</definedName>
    <definedName name="OSRRefD14x_5" localSheetId="79">'414'!$I$16:$I$17</definedName>
    <definedName name="OSRRefD14x_5" localSheetId="80">'415'!$I$17:$I$19</definedName>
    <definedName name="OSRRefD14x_5" localSheetId="81">'418'!$I$15:$I$16</definedName>
    <definedName name="OSRRefD14x_5" localSheetId="85">'425'!$I$13</definedName>
    <definedName name="OSRRefD14x_5" localSheetId="89">'433'!$I$17:$I$19</definedName>
    <definedName name="OSRRefD14x_5" localSheetId="91">'444'!$I$17:$I$19</definedName>
    <definedName name="OSRRefD14x_5" localSheetId="92">'450'!$I$15</definedName>
    <definedName name="OSRRefD14x_5" localSheetId="73">'491'!$I$20:$I$22</definedName>
    <definedName name="OSRRefD14x_5" localSheetId="87">'492'!$I$17:$I$19</definedName>
    <definedName name="OSRRefD14x_5" localSheetId="47">'Div 3'!$I$80:$I$120</definedName>
    <definedName name="OSRRefD14x_5" localSheetId="71">'Div 4'!$I$22:$I$24</definedName>
    <definedName name="OSRRefD14x_5" localSheetId="62">'Div 6'!$I$32:$I$45</definedName>
    <definedName name="OSRRefD14x_5" localSheetId="2">Summary!$I$101:$I$150</definedName>
    <definedName name="OSRRefD14x_6" localSheetId="48">'300'!$J$78:$J$116</definedName>
    <definedName name="OSRRefD14x_6" localSheetId="49">'300 &amp; 317'!$J$93:$J$140</definedName>
    <definedName name="OSRRefD14x_6" localSheetId="50">'301'!$J$13</definedName>
    <definedName name="OSRRefD14x_6" localSheetId="53">'307'!$J$24:$J$31</definedName>
    <definedName name="OSRRefD14x_6" localSheetId="54">'308'!$J$36:$J$51</definedName>
    <definedName name="OSRRefD14x_6" localSheetId="65">'309'!$J$14</definedName>
    <definedName name="OSRRefD14x_6" localSheetId="64">'310'!$J$20:$J$22</definedName>
    <definedName name="OSRRefD14x_6" localSheetId="72">'310 &amp; 491'!$J$26:$J$28</definedName>
    <definedName name="OSRRefD14x_6" localSheetId="55">'311'!$J$35:$J$50</definedName>
    <definedName name="OSRRefD14x_6" localSheetId="66">'313'!$J$17</definedName>
    <definedName name="OSRRefD14x_6" localSheetId="58">'315'!$J$51:$J$73</definedName>
    <definedName name="OSRRefD14x_6" localSheetId="63">'317'!$J$32:$J$45</definedName>
    <definedName name="OSRRefD14x_6" localSheetId="67">'321'!$J$15:$J$16</definedName>
    <definedName name="OSRRefD14x_6" localSheetId="68">'322'!$J$14:$J$15</definedName>
    <definedName name="OSRRefD14x_6" localSheetId="56">'324'!$J$17:$J$19</definedName>
    <definedName name="OSRRefD14x_6" localSheetId="69">'325'!$J$13:$J$14</definedName>
    <definedName name="OSRRefD14x_6" localSheetId="59">'326'!$J$34:$J$40</definedName>
    <definedName name="OSRRefD14x_6" localSheetId="70">'327'!$J$15:$J$16</definedName>
    <definedName name="OSRRefD14x_6" localSheetId="52">'330'!$J$27:$J$34</definedName>
    <definedName name="OSRRefD14x_6" localSheetId="57">'331'!$J$51:$J$74</definedName>
    <definedName name="OSRRefD14x_6" localSheetId="60">'332'!$J$25:$J$26</definedName>
    <definedName name="OSRRefD14x_6" localSheetId="74">'405'!$J$15:$J$16</definedName>
    <definedName name="OSRRefD14x_6" localSheetId="77">'412'!$J$14</definedName>
    <definedName name="OSRRefD14x_6" localSheetId="78">'413'!$J$15</definedName>
    <definedName name="OSRRefD14x_6" localSheetId="79">'414'!$J$16:$J$17</definedName>
    <definedName name="OSRRefD14x_6" localSheetId="80">'415'!$J$17:$J$19</definedName>
    <definedName name="OSRRefD14x_6" localSheetId="81">'418'!$J$15:$J$16</definedName>
    <definedName name="OSRRefD14x_6" localSheetId="85">'425'!$J$13</definedName>
    <definedName name="OSRRefD14x_6" localSheetId="89">'433'!$J$17:$J$19</definedName>
    <definedName name="OSRRefD14x_6" localSheetId="91">'444'!$J$17:$J$19</definedName>
    <definedName name="OSRRefD14x_6" localSheetId="92">'450'!$J$15</definedName>
    <definedName name="OSRRefD14x_6" localSheetId="73">'491'!$J$20:$J$22</definedName>
    <definedName name="OSRRefD14x_6" localSheetId="87">'492'!$J$17:$J$19</definedName>
    <definedName name="OSRRefD14x_6" localSheetId="47">'Div 3'!$J$80:$J$120</definedName>
    <definedName name="OSRRefD14x_6" localSheetId="71">'Div 4'!$J$22:$J$24</definedName>
    <definedName name="OSRRefD14x_6" localSheetId="62">'Div 6'!$J$32:$J$45</definedName>
    <definedName name="OSRRefD14x_6" localSheetId="2">Summary!$J$101:$J$150</definedName>
    <definedName name="OSRRefD14x_7" localSheetId="48">'300'!$K$78:$K$116</definedName>
    <definedName name="OSRRefD14x_7" localSheetId="49">'300 &amp; 317'!$K$93:$K$140</definedName>
    <definedName name="OSRRefD14x_7" localSheetId="50">'301'!$K$13</definedName>
    <definedName name="OSRRefD14x_7" localSheetId="53">'307'!$K$24:$K$31</definedName>
    <definedName name="OSRRefD14x_7" localSheetId="54">'308'!$K$36:$K$51</definedName>
    <definedName name="OSRRefD14x_7" localSheetId="65">'309'!$K$14</definedName>
    <definedName name="OSRRefD14x_7" localSheetId="64">'310'!$K$20:$K$22</definedName>
    <definedName name="OSRRefD14x_7" localSheetId="72">'310 &amp; 491'!$K$26:$K$28</definedName>
    <definedName name="OSRRefD14x_7" localSheetId="55">'311'!$K$35:$K$50</definedName>
    <definedName name="OSRRefD14x_7" localSheetId="66">'313'!$K$17</definedName>
    <definedName name="OSRRefD14x_7" localSheetId="58">'315'!$K$51:$K$73</definedName>
    <definedName name="OSRRefD14x_7" localSheetId="63">'317'!$K$32:$K$45</definedName>
    <definedName name="OSRRefD14x_7" localSheetId="67">'321'!$K$15:$K$16</definedName>
    <definedName name="OSRRefD14x_7" localSheetId="68">'322'!$K$14:$K$15</definedName>
    <definedName name="OSRRefD14x_7" localSheetId="56">'324'!$K$17:$K$19</definedName>
    <definedName name="OSRRefD14x_7" localSheetId="69">'325'!$K$13:$K$14</definedName>
    <definedName name="OSRRefD14x_7" localSheetId="59">'326'!$K$34:$K$40</definedName>
    <definedName name="OSRRefD14x_7" localSheetId="70">'327'!$K$15:$K$16</definedName>
    <definedName name="OSRRefD14x_7" localSheetId="52">'330'!$K$27:$K$34</definedName>
    <definedName name="OSRRefD14x_7" localSheetId="57">'331'!$K$51:$K$74</definedName>
    <definedName name="OSRRefD14x_7" localSheetId="60">'332'!$K$25:$K$26</definedName>
    <definedName name="OSRRefD14x_7" localSheetId="74">'405'!$K$15:$K$16</definedName>
    <definedName name="OSRRefD14x_7" localSheetId="77">'412'!$K$14</definedName>
    <definedName name="OSRRefD14x_7" localSheetId="78">'413'!$K$15</definedName>
    <definedName name="OSRRefD14x_7" localSheetId="79">'414'!$K$16:$K$17</definedName>
    <definedName name="OSRRefD14x_7" localSheetId="80">'415'!$K$17:$K$19</definedName>
    <definedName name="OSRRefD14x_7" localSheetId="81">'418'!$K$15:$K$16</definedName>
    <definedName name="OSRRefD14x_7" localSheetId="85">'425'!$K$13</definedName>
    <definedName name="OSRRefD14x_7" localSheetId="89">'433'!$K$17:$K$19</definedName>
    <definedName name="OSRRefD14x_7" localSheetId="91">'444'!$K$17:$K$19</definedName>
    <definedName name="OSRRefD14x_7" localSheetId="92">'450'!$K$15</definedName>
    <definedName name="OSRRefD14x_7" localSheetId="73">'491'!$K$20:$K$22</definedName>
    <definedName name="OSRRefD14x_7" localSheetId="87">'492'!$K$17:$K$19</definedName>
    <definedName name="OSRRefD14x_7" localSheetId="47">'Div 3'!$K$80:$K$120</definedName>
    <definedName name="OSRRefD14x_7" localSheetId="71">'Div 4'!$K$22:$K$24</definedName>
    <definedName name="OSRRefD14x_7" localSheetId="62">'Div 6'!$K$32:$K$45</definedName>
    <definedName name="OSRRefD14x_7" localSheetId="2">Summary!$K$101:$K$150</definedName>
    <definedName name="OSRRefD14x_8" localSheetId="48">'300'!$L$78:$L$116</definedName>
    <definedName name="OSRRefD14x_8" localSheetId="49">'300 &amp; 317'!$L$93:$L$140</definedName>
    <definedName name="OSRRefD14x_8" localSheetId="50">'301'!$L$13</definedName>
    <definedName name="OSRRefD14x_8" localSheetId="53">'307'!$L$24:$L$31</definedName>
    <definedName name="OSRRefD14x_8" localSheetId="54">'308'!$L$36:$L$51</definedName>
    <definedName name="OSRRefD14x_8" localSheetId="65">'309'!$L$14</definedName>
    <definedName name="OSRRefD14x_8" localSheetId="64">'310'!$L$20:$L$22</definedName>
    <definedName name="OSRRefD14x_8" localSheetId="72">'310 &amp; 491'!$L$26:$L$28</definedName>
    <definedName name="OSRRefD14x_8" localSheetId="55">'311'!$L$35:$L$50</definedName>
    <definedName name="OSRRefD14x_8" localSheetId="66">'313'!$L$17</definedName>
    <definedName name="OSRRefD14x_8" localSheetId="58">'315'!$L$51:$L$73</definedName>
    <definedName name="OSRRefD14x_8" localSheetId="63">'317'!$L$32:$L$45</definedName>
    <definedName name="OSRRefD14x_8" localSheetId="67">'321'!$L$15:$L$16</definedName>
    <definedName name="OSRRefD14x_8" localSheetId="68">'322'!$L$14:$L$15</definedName>
    <definedName name="OSRRefD14x_8" localSheetId="56">'324'!$L$17:$L$19</definedName>
    <definedName name="OSRRefD14x_8" localSheetId="69">'325'!$L$13:$L$14</definedName>
    <definedName name="OSRRefD14x_8" localSheetId="59">'326'!$L$34:$L$40</definedName>
    <definedName name="OSRRefD14x_8" localSheetId="70">'327'!$L$15:$L$16</definedName>
    <definedName name="OSRRefD14x_8" localSheetId="52">'330'!$L$27:$L$34</definedName>
    <definedName name="OSRRefD14x_8" localSheetId="57">'331'!$L$51:$L$74</definedName>
    <definedName name="OSRRefD14x_8" localSheetId="60">'332'!$L$25:$L$26</definedName>
    <definedName name="OSRRefD14x_8" localSheetId="74">'405'!$L$15:$L$16</definedName>
    <definedName name="OSRRefD14x_8" localSheetId="77">'412'!$L$14</definedName>
    <definedName name="OSRRefD14x_8" localSheetId="78">'413'!$L$15</definedName>
    <definedName name="OSRRefD14x_8" localSheetId="79">'414'!$L$16:$L$17</definedName>
    <definedName name="OSRRefD14x_8" localSheetId="80">'415'!$L$17:$L$19</definedName>
    <definedName name="OSRRefD14x_8" localSheetId="81">'418'!$L$15:$L$16</definedName>
    <definedName name="OSRRefD14x_8" localSheetId="85">'425'!$L$13</definedName>
    <definedName name="OSRRefD14x_8" localSheetId="89">'433'!$L$17:$L$19</definedName>
    <definedName name="OSRRefD14x_8" localSheetId="91">'444'!$L$17:$L$19</definedName>
    <definedName name="OSRRefD14x_8" localSheetId="92">'450'!$L$15</definedName>
    <definedName name="OSRRefD14x_8" localSheetId="73">'491'!$L$20:$L$22</definedName>
    <definedName name="OSRRefD14x_8" localSheetId="87">'492'!$L$17:$L$19</definedName>
    <definedName name="OSRRefD14x_8" localSheetId="47">'Div 3'!$L$80:$L$120</definedName>
    <definedName name="OSRRefD14x_8" localSheetId="71">'Div 4'!$L$22:$L$24</definedName>
    <definedName name="OSRRefD14x_8" localSheetId="62">'Div 6'!$L$32:$L$45</definedName>
    <definedName name="OSRRefD14x_8" localSheetId="2">Summary!$L$101:$L$150</definedName>
    <definedName name="OSRRefD14x_9" localSheetId="48">'300'!$M$78:$M$116</definedName>
    <definedName name="OSRRefD14x_9" localSheetId="49">'300 &amp; 317'!$M$93:$M$140</definedName>
    <definedName name="OSRRefD14x_9" localSheetId="50">'301'!$M$13</definedName>
    <definedName name="OSRRefD14x_9" localSheetId="53">'307'!$M$24:$M$31</definedName>
    <definedName name="OSRRefD14x_9" localSheetId="54">'308'!$M$36:$M$51</definedName>
    <definedName name="OSRRefD14x_9" localSheetId="65">'309'!$M$14</definedName>
    <definedName name="OSRRefD14x_9" localSheetId="64">'310'!$M$20:$M$22</definedName>
    <definedName name="OSRRefD14x_9" localSheetId="72">'310 &amp; 491'!$M$26:$M$28</definedName>
    <definedName name="OSRRefD14x_9" localSheetId="55">'311'!$M$35:$M$50</definedName>
    <definedName name="OSRRefD14x_9" localSheetId="66">'313'!$M$17</definedName>
    <definedName name="OSRRefD14x_9" localSheetId="58">'315'!$M$51:$M$73</definedName>
    <definedName name="OSRRefD14x_9" localSheetId="63">'317'!$M$32:$M$45</definedName>
    <definedName name="OSRRefD14x_9" localSheetId="67">'321'!$M$15:$M$16</definedName>
    <definedName name="OSRRefD14x_9" localSheetId="68">'322'!$M$14:$M$15</definedName>
    <definedName name="OSRRefD14x_9" localSheetId="56">'324'!$M$17:$M$19</definedName>
    <definedName name="OSRRefD14x_9" localSheetId="69">'325'!$M$13:$M$14</definedName>
    <definedName name="OSRRefD14x_9" localSheetId="59">'326'!$M$34:$M$40</definedName>
    <definedName name="OSRRefD14x_9" localSheetId="70">'327'!$M$15:$M$16</definedName>
    <definedName name="OSRRefD14x_9" localSheetId="52">'330'!$M$27:$M$34</definedName>
    <definedName name="OSRRefD14x_9" localSheetId="57">'331'!$M$51:$M$74</definedName>
    <definedName name="OSRRefD14x_9" localSheetId="60">'332'!$M$25:$M$26</definedName>
    <definedName name="OSRRefD14x_9" localSheetId="74">'405'!$M$15:$M$16</definedName>
    <definedName name="OSRRefD14x_9" localSheetId="77">'412'!$M$14</definedName>
    <definedName name="OSRRefD14x_9" localSheetId="78">'413'!$M$15</definedName>
    <definedName name="OSRRefD14x_9" localSheetId="79">'414'!$M$16:$M$17</definedName>
    <definedName name="OSRRefD14x_9" localSheetId="80">'415'!$M$17:$M$19</definedName>
    <definedName name="OSRRefD14x_9" localSheetId="81">'418'!$M$15:$M$16</definedName>
    <definedName name="OSRRefD14x_9" localSheetId="85">'425'!$M$13</definedName>
    <definedName name="OSRRefD14x_9" localSheetId="89">'433'!$M$17:$M$19</definedName>
    <definedName name="OSRRefD14x_9" localSheetId="91">'444'!$M$17:$M$19</definedName>
    <definedName name="OSRRefD14x_9" localSheetId="92">'450'!$M$15</definedName>
    <definedName name="OSRRefD14x_9" localSheetId="73">'491'!$M$20:$M$22</definedName>
    <definedName name="OSRRefD14x_9" localSheetId="87">'492'!$M$17:$M$19</definedName>
    <definedName name="OSRRefD14x_9" localSheetId="47">'Div 3'!$M$80:$M$120</definedName>
    <definedName name="OSRRefD14x_9" localSheetId="71">'Div 4'!$M$22:$M$24</definedName>
    <definedName name="OSRRefD14x_9" localSheetId="62">'Div 6'!$M$32:$M$45</definedName>
    <definedName name="OSRRefD14x_9" localSheetId="2">Summary!$M$101:$M$150</definedName>
    <definedName name="OSRRefD20_0x" localSheetId="40">'200'!$D$18:$M$18</definedName>
    <definedName name="OSRRefD20_0x" localSheetId="41">'201'!$D$18:$M$18</definedName>
    <definedName name="OSRRefD20_0x" localSheetId="42">'202'!$D$18:$M$18</definedName>
    <definedName name="OSRRefD20_0x" localSheetId="43">'203'!$D$18:$M$18</definedName>
    <definedName name="OSRRefD20_0x" localSheetId="44">'204'!$D$18:$M$18</definedName>
    <definedName name="OSRRefD20_0x" localSheetId="45">'205'!$D$18:$M$18</definedName>
    <definedName name="OSRRefD20_0x" localSheetId="46">'206'!$D$18:$M$18</definedName>
    <definedName name="OSRRefD20_0x" localSheetId="48">'300'!$D$122:$M$122</definedName>
    <definedName name="OSRRefD20_0x" localSheetId="49">'300 &amp; 317'!$D$146:$M$146</definedName>
    <definedName name="OSRRefD20_0x" localSheetId="50">'301'!$D$19:$M$19</definedName>
    <definedName name="OSRRefD20_0x" localSheetId="51">'306'!$D$18:$M$18</definedName>
    <definedName name="OSRRefD20_0x" localSheetId="53">'307'!$D$37:$M$37</definedName>
    <definedName name="OSRRefD20_0x" localSheetId="54">'308'!$D$57:$M$57</definedName>
    <definedName name="OSRRefD20_0x" localSheetId="65">'309'!$D$20:$M$20</definedName>
    <definedName name="OSRRefD20_0x" localSheetId="64">'310'!$D$28:$M$28</definedName>
    <definedName name="OSRRefD20_0x" localSheetId="72">'310 &amp; 491'!$D$34:$M$34</definedName>
    <definedName name="OSRRefD20_0x" localSheetId="55">'311'!$D$56:$M$56</definedName>
    <definedName name="OSRRefD20_0x" localSheetId="66">'313'!$D$23:$M$23</definedName>
    <definedName name="OSRRefD20_0x" localSheetId="58">'315'!$D$79:$M$79</definedName>
    <definedName name="OSRRefD20_0x" localSheetId="61">'316'!$D$30:$M$30</definedName>
    <definedName name="OSRRefD20_0x" localSheetId="63">'317'!$D$51:$M$51</definedName>
    <definedName name="OSRRefD20_0x" localSheetId="67">'321'!$D$22:$M$22</definedName>
    <definedName name="OSRRefD20_0x" localSheetId="68">'322'!$D$21:$M$21</definedName>
    <definedName name="OSRRefD20_0x" localSheetId="56">'324'!$D$25:$M$25</definedName>
    <definedName name="OSRRefD20_0x" localSheetId="69">'325'!$D$20:$M$20</definedName>
    <definedName name="OSRRefD20_0x" localSheetId="59">'326'!$D$46:$M$46</definedName>
    <definedName name="OSRRefD20_0x" localSheetId="70">'327'!$D$22:$M$22</definedName>
    <definedName name="OSRRefD20_0x" localSheetId="52">'330'!$D$40:$M$40</definedName>
    <definedName name="OSRRefD20_0x" localSheetId="57">'331'!$D$80:$M$80</definedName>
    <definedName name="OSRRefD20_0x" localSheetId="60">'332'!$D$32:$M$32</definedName>
    <definedName name="OSRRefD20_0x" localSheetId="74">'405'!$D$22:$M$22</definedName>
    <definedName name="OSRRefD20_0x" localSheetId="75">'406'!$D$18:$M$18</definedName>
    <definedName name="OSRRefD20_0x" localSheetId="76">'411'!$D$18:$M$18</definedName>
    <definedName name="OSRRefD20_0x" localSheetId="77">'412'!$D$20:$M$20</definedName>
    <definedName name="OSRRefD20_0x" localSheetId="78">'413'!$D$21:$M$21</definedName>
    <definedName name="OSRRefD20_0x" localSheetId="79">'414'!$D$23:$M$23</definedName>
    <definedName name="OSRRefD20_0x" localSheetId="80">'415'!$D$25:$M$25</definedName>
    <definedName name="OSRRefD20_0x" localSheetId="81">'418'!$D$22:$M$22</definedName>
    <definedName name="OSRRefD20_0x" localSheetId="82">'420'!$D$20:$M$20</definedName>
    <definedName name="OSRRefD20_0x" localSheetId="83">'423'!$D$18:$M$18</definedName>
    <definedName name="OSRRefD20_0x" localSheetId="84">'424'!$D$18:$M$18</definedName>
    <definedName name="OSRRefD20_0x" localSheetId="85">'425'!$D$19:$M$19</definedName>
    <definedName name="OSRRefD20_0x" localSheetId="88">'430'!$D$18:$M$18</definedName>
    <definedName name="OSRRefD20_0x" localSheetId="89">'433'!$D$25:$M$25</definedName>
    <definedName name="OSRRefD20_0x" localSheetId="90">'435'!$D$18:$M$18</definedName>
    <definedName name="OSRRefD20_0x" localSheetId="91">'444'!$D$25:$M$25</definedName>
    <definedName name="OSRRefD20_0x" localSheetId="92">'450'!$D$21:$M$21</definedName>
    <definedName name="OSRRefD20_0x" localSheetId="73">'491'!$D$28:$M$28</definedName>
    <definedName name="OSRRefD20_0x" localSheetId="87">'492'!$D$25:$M$25</definedName>
    <definedName name="OSRRefD20_0x" localSheetId="94">'501'!$D$20:$M$20</definedName>
    <definedName name="OSRRefD20_0x" localSheetId="39">'Div 2'!$D$18:$M$18</definedName>
    <definedName name="OSRRefD20_0x" localSheetId="47">'Div 3'!$D$126:$M$126</definedName>
    <definedName name="OSRRefD20_0x" localSheetId="71">'Div 4'!$D$30:$M$30</definedName>
    <definedName name="OSRRefD20_0x" localSheetId="93">'Div 5'!$D$20:$M$20</definedName>
    <definedName name="OSRRefD20_0x" localSheetId="62">'Div 6'!$D$51:$M$51</definedName>
    <definedName name="OSRRefD20_0x" localSheetId="2">Summary!$D$156:$M$156</definedName>
    <definedName name="OSRRefD20_10x" localSheetId="41">'201'!$D$55:$M$55</definedName>
    <definedName name="OSRRefD20_10x" localSheetId="42">'202'!$D$59:$M$59</definedName>
    <definedName name="OSRRefD20_10x" localSheetId="43">'203'!$D$59:$M$59</definedName>
    <definedName name="OSRRefD20_10x" localSheetId="44">'204'!$D$59:$M$59</definedName>
    <definedName name="OSRRefD20_10x" localSheetId="48">'300'!$D$163:$M$163</definedName>
    <definedName name="OSRRefD20_10x" localSheetId="49">'300 &amp; 317'!$D$187:$M$187</definedName>
    <definedName name="OSRRefD20_10x" localSheetId="50">'301'!$D$59:$M$59</definedName>
    <definedName name="OSRRefD20_10x" localSheetId="53">'307'!$D$77:$M$77</definedName>
    <definedName name="OSRRefD20_10x" localSheetId="54">'308'!$D$100:$M$100</definedName>
    <definedName name="OSRRefD20_10x" localSheetId="65">'309'!$D$59:$M$59</definedName>
    <definedName name="OSRRefD20_10x" localSheetId="64">'310'!$D$66:$M$66</definedName>
    <definedName name="OSRRefD20_10x" localSheetId="72">'310 &amp; 491'!$D$74:$M$74</definedName>
    <definedName name="OSRRefD20_10x" localSheetId="55">'311'!$D$99:$M$99</definedName>
    <definedName name="OSRRefD20_10x" localSheetId="58">'315'!$D$119:$M$119</definedName>
    <definedName name="OSRRefD20_10x" localSheetId="61">'316'!$D$74:$M$74</definedName>
    <definedName name="OSRRefD20_10x" localSheetId="63">'317'!$D$91:$M$91</definedName>
    <definedName name="OSRRefD20_10x" localSheetId="67">'321'!$D$62:$M$62</definedName>
    <definedName name="OSRRefD20_10x" localSheetId="68">'322'!$D$61:$M$61</definedName>
    <definedName name="OSRRefD20_10x" localSheetId="69">'325'!$D$57:$M$57</definedName>
    <definedName name="OSRRefD20_10x" localSheetId="59">'326'!$D$83:$M$83</definedName>
    <definedName name="OSRRefD20_10x" localSheetId="52">'330'!$D$81:$M$81</definedName>
    <definedName name="OSRRefD20_10x" localSheetId="57">'331'!$D$119:$M$119</definedName>
    <definedName name="OSRRefD20_10x" localSheetId="60">'332'!$D$76:$M$76</definedName>
    <definedName name="OSRRefD20_10x" localSheetId="74">'405'!$D$60:$M$60</definedName>
    <definedName name="OSRRefD20_10x" localSheetId="76">'411'!$D$59:$M$59</definedName>
    <definedName name="OSRRefD20_10x" localSheetId="77">'412'!$D$58:$M$58</definedName>
    <definedName name="OSRRefD20_10x" localSheetId="79">'414'!$D$61:$M$61</definedName>
    <definedName name="OSRRefD20_10x" localSheetId="80">'415'!$D$63:$M$63</definedName>
    <definedName name="OSRRefD20_10x" localSheetId="81">'418'!$D$61:$M$61</definedName>
    <definedName name="OSRRefD20_10x" localSheetId="89">'433'!$D$63:$M$63</definedName>
    <definedName name="OSRRefD20_10x" localSheetId="91">'444'!$D$63:$M$63</definedName>
    <definedName name="OSRRefD20_10x" localSheetId="92">'450'!$D$59:$M$59</definedName>
    <definedName name="OSRRefD20_10x" localSheetId="73">'491'!$D$67:$M$67</definedName>
    <definedName name="OSRRefD20_10x" localSheetId="87">'492'!$D$63:$M$63</definedName>
    <definedName name="OSRRefD20_10x" localSheetId="94">'501'!$D$61:$M$61</definedName>
    <definedName name="OSRRefD20_10x" localSheetId="39">'Div 2'!$D$58:$M$58</definedName>
    <definedName name="OSRRefD20_10x" localSheetId="47">'Div 3'!$D$167:$M$167</definedName>
    <definedName name="OSRRefD20_10x" localSheetId="71">'Div 4'!$D$70:$M$70</definedName>
    <definedName name="OSRRefD20_10x" localSheetId="93">'Div 5'!$D$61:$M$61</definedName>
    <definedName name="OSRRefD20_10x" localSheetId="62">'Div 6'!$D$91:$M$91</definedName>
    <definedName name="OSRRefD20_10x" localSheetId="2">Summary!$D$198:$M$198</definedName>
    <definedName name="OSRRefD20_11x" localSheetId="41">'201'!$D$58:$M$58</definedName>
    <definedName name="OSRRefD20_11x" localSheetId="42">'202'!$D$61:$M$61</definedName>
    <definedName name="OSRRefD20_11x" localSheetId="43">'203'!$D$61:$M$61</definedName>
    <definedName name="OSRRefD20_11x" localSheetId="48">'300'!$D$166:$M$166</definedName>
    <definedName name="OSRRefD20_11x" localSheetId="49">'300 &amp; 317'!$D$190:$M$190</definedName>
    <definedName name="OSRRefD20_11x" localSheetId="50">'301'!$D$61:$M$61</definedName>
    <definedName name="OSRRefD20_11x" localSheetId="53">'307'!$D$81:$M$81</definedName>
    <definedName name="OSRRefD20_11x" localSheetId="54">'308'!$D$103:$M$103</definedName>
    <definedName name="OSRRefD20_11x" localSheetId="64">'310'!$D$68:$M$68</definedName>
    <definedName name="OSRRefD20_11x" localSheetId="72">'310 &amp; 491'!$D$76:$M$76</definedName>
    <definedName name="OSRRefD20_11x" localSheetId="55">'311'!$D$102:$M$102</definedName>
    <definedName name="OSRRefD20_11x" localSheetId="58">'315'!$D$121:$M$121</definedName>
    <definedName name="OSRRefD20_11x" localSheetId="61">'316'!$D$76:$M$76</definedName>
    <definedName name="OSRRefD20_11x" localSheetId="63">'317'!$D$93:$M$93</definedName>
    <definedName name="OSRRefD20_11x" localSheetId="67">'321'!$D$65:$M$65</definedName>
    <definedName name="OSRRefD20_11x" localSheetId="69">'325'!$D$60:$M$60</definedName>
    <definedName name="OSRRefD20_11x" localSheetId="59">'326'!$D$85:$M$85</definedName>
    <definedName name="OSRRefD20_11x" localSheetId="52">'330'!$D$85:$M$85</definedName>
    <definedName name="OSRRefD20_11x" localSheetId="57">'331'!$D$122:$M$122</definedName>
    <definedName name="OSRRefD20_11x" localSheetId="60">'332'!$D$78:$M$78</definedName>
    <definedName name="OSRRefD20_11x" localSheetId="74">'405'!$D$62:$M$62</definedName>
    <definedName name="OSRRefD20_11x" localSheetId="76">'411'!$D$64:$M$64</definedName>
    <definedName name="OSRRefD20_11x" localSheetId="77">'412'!$D$63:$M$63</definedName>
    <definedName name="OSRRefD20_11x" localSheetId="79">'414'!$D$63:$M$63</definedName>
    <definedName name="OSRRefD20_11x" localSheetId="80">'415'!$D$65:$M$65</definedName>
    <definedName name="OSRRefD20_11x" localSheetId="81">'418'!$D$63:$M$63</definedName>
    <definedName name="OSRRefD20_11x" localSheetId="89">'433'!$D$65:$M$65</definedName>
    <definedName name="OSRRefD20_11x" localSheetId="91">'444'!$D$65:$M$65</definedName>
    <definedName name="OSRRefD20_11x" localSheetId="92">'450'!$D$61:$M$61</definedName>
    <definedName name="OSRRefD20_11x" localSheetId="73">'491'!$D$69:$M$69</definedName>
    <definedName name="OSRRefD20_11x" localSheetId="87">'492'!$D$65:$M$65</definedName>
    <definedName name="OSRRefD20_11x" localSheetId="94">'501'!$D$64:$M$64</definedName>
    <definedName name="OSRRefD20_11x" localSheetId="39">'Div 2'!$D$60:$M$60</definedName>
    <definedName name="OSRRefD20_11x" localSheetId="47">'Div 3'!$D$170:$M$170</definedName>
    <definedName name="OSRRefD20_11x" localSheetId="71">'Div 4'!$D$72:$M$72</definedName>
    <definedName name="OSRRefD20_11x" localSheetId="93">'Div 5'!$D$64:$M$64</definedName>
    <definedName name="OSRRefD20_11x" localSheetId="62">'Div 6'!$D$93:$M$93</definedName>
    <definedName name="OSRRefD20_11x" localSheetId="2">Summary!$D$201:$M$201</definedName>
    <definedName name="OSRRefD20_12x" localSheetId="41">'201'!$D$61:$M$61</definedName>
    <definedName name="OSRRefD20_12x" localSheetId="42">'202'!$D$63:$M$63</definedName>
    <definedName name="OSRRefD20_12x" localSheetId="43">'203'!$D$65:$M$65</definedName>
    <definedName name="OSRRefD20_12x" localSheetId="48">'300'!$D$169:$M$169</definedName>
    <definedName name="OSRRefD20_12x" localSheetId="49">'300 &amp; 317'!$D$193:$M$193</definedName>
    <definedName name="OSRRefD20_12x" localSheetId="50">'301'!$D$63:$M$63</definedName>
    <definedName name="OSRRefD20_12x" localSheetId="53">'307'!$D$84:$M$84</definedName>
    <definedName name="OSRRefD20_12x" localSheetId="54">'308'!$D$107:$M$107</definedName>
    <definedName name="OSRRefD20_12x" localSheetId="64">'310'!$D$70:$M$70</definedName>
    <definedName name="OSRRefD20_12x" localSheetId="72">'310 &amp; 491'!$D$78:$M$78</definedName>
    <definedName name="OSRRefD20_12x" localSheetId="55">'311'!$D$106:$M$106</definedName>
    <definedName name="OSRRefD20_12x" localSheetId="58">'315'!$D$123:$M$123</definedName>
    <definedName name="OSRRefD20_12x" localSheetId="63">'317'!$D$98:$M$98</definedName>
    <definedName name="OSRRefD20_12x" localSheetId="69">'325'!$D$63:$M$63</definedName>
    <definedName name="OSRRefD20_12x" localSheetId="59">'326'!$D$87:$M$87</definedName>
    <definedName name="OSRRefD20_12x" localSheetId="52">'330'!$D$88:$M$88</definedName>
    <definedName name="OSRRefD20_12x" localSheetId="57">'331'!$D$124:$M$124</definedName>
    <definedName name="OSRRefD20_12x" localSheetId="74">'405'!$D$67:$M$67</definedName>
    <definedName name="OSRRefD20_12x" localSheetId="76">'411'!$D$66:$M$66</definedName>
    <definedName name="OSRRefD20_12x" localSheetId="77">'412'!$D$68:$M$68</definedName>
    <definedName name="OSRRefD20_12x" localSheetId="79">'414'!$D$65:$M$65</definedName>
    <definedName name="OSRRefD20_12x" localSheetId="80">'415'!$D$68:$M$68</definedName>
    <definedName name="OSRRefD20_12x" localSheetId="81">'418'!$D$70:$M$70</definedName>
    <definedName name="OSRRefD20_12x" localSheetId="89">'433'!$D$68:$M$68</definedName>
    <definedName name="OSRRefD20_12x" localSheetId="91">'444'!$D$68:$M$68</definedName>
    <definedName name="OSRRefD20_12x" localSheetId="92">'450'!$D$63:$M$63</definedName>
    <definedName name="OSRRefD20_12x" localSheetId="73">'491'!$D$71:$M$71</definedName>
    <definedName name="OSRRefD20_12x" localSheetId="87">'492'!$D$67:$M$67</definedName>
    <definedName name="OSRRefD20_12x" localSheetId="39">'Div 2'!$D$62:$M$62</definedName>
    <definedName name="OSRRefD20_12x" localSheetId="47">'Div 3'!$D$173:$M$173</definedName>
    <definedName name="OSRRefD20_12x" localSheetId="71">'Div 4'!$D$74:$M$74</definedName>
    <definedName name="OSRRefD20_12x" localSheetId="62">'Div 6'!$D$98:$M$98</definedName>
    <definedName name="OSRRefD20_12x" localSheetId="2">Summary!$D$204:$M$204</definedName>
    <definedName name="OSRRefD20_13x" localSheetId="41">'201'!$D$63:$M$63</definedName>
    <definedName name="OSRRefD20_13x" localSheetId="43">'203'!$D$67:$M$67</definedName>
    <definedName name="OSRRefD20_13x" localSheetId="48">'300'!$D$171:$M$171</definedName>
    <definedName name="OSRRefD20_13x" localSheetId="49">'300 &amp; 317'!$D$195:$M$195</definedName>
    <definedName name="OSRRefD20_13x" localSheetId="50">'301'!$D$65:$M$65</definedName>
    <definedName name="OSRRefD20_13x" localSheetId="54">'308'!$D$110:$M$110</definedName>
    <definedName name="OSRRefD20_13x" localSheetId="64">'310'!$D$73:$M$73</definedName>
    <definedName name="OSRRefD20_13x" localSheetId="72">'310 &amp; 491'!$D$80:$M$80</definedName>
    <definedName name="OSRRefD20_13x" localSheetId="55">'311'!$D$109:$M$109</definedName>
    <definedName name="OSRRefD20_13x" localSheetId="58">'315'!$D$127:$M$127</definedName>
    <definedName name="OSRRefD20_13x" localSheetId="63">'317'!$D$100:$M$100</definedName>
    <definedName name="OSRRefD20_13x" localSheetId="69">'325'!$D$69:$M$69</definedName>
    <definedName name="OSRRefD20_13x" localSheetId="59">'326'!$D$91:$M$91</definedName>
    <definedName name="OSRRefD20_13x" localSheetId="57">'331'!$D$126:$M$126</definedName>
    <definedName name="OSRRefD20_13x" localSheetId="74">'405'!$D$69:$M$69</definedName>
    <definedName name="OSRRefD20_13x" localSheetId="76">'411'!$D$73:$M$73</definedName>
    <definedName name="OSRRefD20_13x" localSheetId="77">'412'!$D$71:$M$71</definedName>
    <definedName name="OSRRefD20_13x" localSheetId="79">'414'!$D$69:$M$69</definedName>
    <definedName name="OSRRefD20_13x" localSheetId="80">'415'!$D$73:$M$73</definedName>
    <definedName name="OSRRefD20_13x" localSheetId="81">'418'!$D$73:$M$73</definedName>
    <definedName name="OSRRefD20_13x" localSheetId="89">'433'!$D$73:$M$73</definedName>
    <definedName name="OSRRefD20_13x" localSheetId="91">'444'!$D$73:$M$73</definedName>
    <definedName name="OSRRefD20_13x" localSheetId="92">'450'!$D$65:$M$65</definedName>
    <definedName name="OSRRefD20_13x" localSheetId="73">'491'!$D$73:$M$73</definedName>
    <definedName name="OSRRefD20_13x" localSheetId="87">'492'!$D$71:$M$71</definedName>
    <definedName name="OSRRefD20_13x" localSheetId="39">'Div 2'!$D$67:$M$67</definedName>
    <definedName name="OSRRefD20_13x" localSheetId="47">'Div 3'!$D$175:$M$175</definedName>
    <definedName name="OSRRefD20_13x" localSheetId="71">'Div 4'!$D$76:$M$76</definedName>
    <definedName name="OSRRefD20_13x" localSheetId="62">'Div 6'!$D$100:$M$100</definedName>
    <definedName name="OSRRefD20_13x" localSheetId="2">Summary!$D$206:$M$206</definedName>
    <definedName name="OSRRefD20_14x" localSheetId="41">'201'!$D$67:$M$67</definedName>
    <definedName name="OSRRefD20_14x" localSheetId="43">'203'!$D$69:$M$69</definedName>
    <definedName name="OSRRefD20_14x" localSheetId="48">'300'!$D$174:$M$174</definedName>
    <definedName name="OSRRefD20_14x" localSheetId="49">'300 &amp; 317'!$D$198:$M$198</definedName>
    <definedName name="OSRRefD20_14x" localSheetId="50">'301'!$D$67:$M$67</definedName>
    <definedName name="OSRRefD20_14x" localSheetId="64">'310'!$D$75:$M$75</definedName>
    <definedName name="OSRRefD20_14x" localSheetId="72">'310 &amp; 491'!$D$82:$M$82</definedName>
    <definedName name="OSRRefD20_14x" localSheetId="58">'315'!$D$130:$M$130</definedName>
    <definedName name="OSRRefD20_14x" localSheetId="69">'325'!$D$72:$M$72</definedName>
    <definedName name="OSRRefD20_14x" localSheetId="59">'326'!$D$95:$M$95</definedName>
    <definedName name="OSRRefD20_14x" localSheetId="57">'331'!$D$130:$M$130</definedName>
    <definedName name="OSRRefD20_14x" localSheetId="74">'405'!$D$78:$M$78</definedName>
    <definedName name="OSRRefD20_14x" localSheetId="76">'411'!$D$75:$M$75</definedName>
    <definedName name="OSRRefD20_14x" localSheetId="80">'415'!$D$75:$M$75</definedName>
    <definedName name="OSRRefD20_14x" localSheetId="89">'433'!$D$81:$M$81</definedName>
    <definedName name="OSRRefD20_14x" localSheetId="91">'444'!$D$75:$M$75</definedName>
    <definedName name="OSRRefD20_14x" localSheetId="92">'450'!$D$69:$M$69</definedName>
    <definedName name="OSRRefD20_14x" localSheetId="73">'491'!$D$75:$M$75</definedName>
    <definedName name="OSRRefD20_14x" localSheetId="87">'492'!$D$76:$M$76</definedName>
    <definedName name="OSRRefD20_14x" localSheetId="39">'Div 2'!$D$72:$M$72</definedName>
    <definedName name="OSRRefD20_14x" localSheetId="47">'Div 3'!$D$177:$M$177</definedName>
    <definedName name="OSRRefD20_14x" localSheetId="71">'Div 4'!$D$78:$M$78</definedName>
    <definedName name="OSRRefD20_14x" localSheetId="2">Summary!$D$208:$M$208</definedName>
    <definedName name="OSRRefD20_15x" localSheetId="41">'201'!$D$69:$M$69</definedName>
    <definedName name="OSRRefD20_15x" localSheetId="48">'300'!$D$176:$M$176</definedName>
    <definedName name="OSRRefD20_15x" localSheetId="49">'300 &amp; 317'!$D$200:$M$200</definedName>
    <definedName name="OSRRefD20_15x" localSheetId="50">'301'!$D$69:$M$69</definedName>
    <definedName name="OSRRefD20_15x" localSheetId="64">'310'!$D$79:$M$79</definedName>
    <definedName name="OSRRefD20_15x" localSheetId="72">'310 &amp; 491'!$D$87:$M$87</definedName>
    <definedName name="OSRRefD20_15x" localSheetId="58">'315'!$D$138:$M$138</definedName>
    <definedName name="OSRRefD20_15x" localSheetId="59">'326'!$D$98:$M$98</definedName>
    <definedName name="OSRRefD20_15x" localSheetId="57">'331'!$D$134:$M$134</definedName>
    <definedName name="OSRRefD20_15x" localSheetId="74">'405'!$D$80:$M$80</definedName>
    <definedName name="OSRRefD20_15x" localSheetId="76">'411'!$D$77:$M$77</definedName>
    <definedName name="OSRRefD20_15x" localSheetId="80">'415'!$D$82:$M$82</definedName>
    <definedName name="OSRRefD20_15x" localSheetId="89">'433'!$D$83:$M$83</definedName>
    <definedName name="OSRRefD20_15x" localSheetId="91">'444'!$D$84:$M$84</definedName>
    <definedName name="OSRRefD20_15x" localSheetId="92">'450'!$D$75:$M$75</definedName>
    <definedName name="OSRRefD20_15x" localSheetId="73">'491'!$D$80:$M$80</definedName>
    <definedName name="OSRRefD20_15x" localSheetId="87">'492'!$D$78:$M$78</definedName>
    <definedName name="OSRRefD20_15x" localSheetId="39">'Div 2'!$D$75:$M$75</definedName>
    <definedName name="OSRRefD20_15x" localSheetId="47">'Div 3'!$D$180:$M$180</definedName>
    <definedName name="OSRRefD20_15x" localSheetId="71">'Div 4'!$D$80:$M$80</definedName>
    <definedName name="OSRRefD20_15x" localSheetId="2">Summary!$D$211:$M$211</definedName>
    <definedName name="OSRRefD20_16x" localSheetId="48">'300'!$D$178:$M$178</definedName>
    <definedName name="OSRRefD20_16x" localSheetId="49">'300 &amp; 317'!$D$202:$M$202</definedName>
    <definedName name="OSRRefD20_16x" localSheetId="50">'301'!$D$74:$M$74</definedName>
    <definedName name="OSRRefD20_16x" localSheetId="64">'310'!$D$86:$M$86</definedName>
    <definedName name="OSRRefD20_16x" localSheetId="72">'310 &amp; 491'!$D$90:$M$90</definedName>
    <definedName name="OSRRefD20_16x" localSheetId="58">'315'!$D$140:$M$140</definedName>
    <definedName name="OSRRefD20_16x" localSheetId="59">'326'!$D$105:$M$105</definedName>
    <definedName name="OSRRefD20_16x" localSheetId="57">'331'!$D$138:$M$138</definedName>
    <definedName name="OSRRefD20_16x" localSheetId="80">'415'!$D$85:$M$85</definedName>
    <definedName name="OSRRefD20_16x" localSheetId="91">'444'!$D$87:$M$87</definedName>
    <definedName name="OSRRefD20_16x" localSheetId="92">'450'!$D$78:$M$78</definedName>
    <definedName name="OSRRefD20_16x" localSheetId="73">'491'!$D$83:$M$83</definedName>
    <definedName name="OSRRefD20_16x" localSheetId="87">'492'!$D$89:$M$89</definedName>
    <definedName name="OSRRefD20_16x" localSheetId="39">'Div 2'!$D$78:$M$78</definedName>
    <definedName name="OSRRefD20_16x" localSheetId="47">'Div 3'!$D$182:$M$182</definedName>
    <definedName name="OSRRefD20_16x" localSheetId="71">'Div 4'!$D$85:$M$85</definedName>
    <definedName name="OSRRefD20_16x" localSheetId="2">Summary!$D$213:$M$213</definedName>
    <definedName name="OSRRefD20_17x" localSheetId="48">'300'!$D$183:$M$183</definedName>
    <definedName name="OSRRefD20_17x" localSheetId="49">'300 &amp; 317'!$D$207:$M$207</definedName>
    <definedName name="OSRRefD20_17x" localSheetId="50">'301'!$D$78:$M$78</definedName>
    <definedName name="OSRRefD20_17x" localSheetId="64">'310'!$D$89:$M$89</definedName>
    <definedName name="OSRRefD20_17x" localSheetId="72">'310 &amp; 491'!$D$96:$M$96</definedName>
    <definedName name="OSRRefD20_17x" localSheetId="59">'326'!$D$108:$M$108</definedName>
    <definedName name="OSRRefD20_17x" localSheetId="57">'331'!$D$141:$M$141</definedName>
    <definedName name="OSRRefD20_17x" localSheetId="80">'415'!$D$87:$M$87</definedName>
    <definedName name="OSRRefD20_17x" localSheetId="91">'444'!$D$89:$M$89</definedName>
    <definedName name="OSRRefD20_17x" localSheetId="73">'491'!$D$89:$M$89</definedName>
    <definedName name="OSRRefD20_17x" localSheetId="87">'492'!$D$92:$M$92</definedName>
    <definedName name="OSRRefD20_17x" localSheetId="39">'Div 2'!$D$83:$M$83</definedName>
    <definedName name="OSRRefD20_17x" localSheetId="47">'Div 3'!$D$184:$M$184</definedName>
    <definedName name="OSRRefD20_17x" localSheetId="71">'Div 4'!$D$88:$M$88</definedName>
    <definedName name="OSRRefD20_17x" localSheetId="2">Summary!$D$215:$M$215</definedName>
    <definedName name="OSRRefD20_18x" localSheetId="48">'300'!$D$188:$M$188</definedName>
    <definedName name="OSRRefD20_18x" localSheetId="49">'300 &amp; 317'!$D$212:$M$212</definedName>
    <definedName name="OSRRefD20_18x" localSheetId="50">'301'!$D$80:$M$80</definedName>
    <definedName name="OSRRefD20_18x" localSheetId="72">'310 &amp; 491'!$D$98:$M$98</definedName>
    <definedName name="OSRRefD20_18x" localSheetId="59">'326'!$D$110:$M$110</definedName>
    <definedName name="OSRRefD20_18x" localSheetId="57">'331'!$D$150:$M$150</definedName>
    <definedName name="OSRRefD20_18x" localSheetId="73">'491'!$D$91:$M$91</definedName>
    <definedName name="OSRRefD20_18x" localSheetId="87">'492'!$D$94:$M$94</definedName>
    <definedName name="OSRRefD20_18x" localSheetId="39">'Div 2'!$D$86:$M$86</definedName>
    <definedName name="OSRRefD20_18x" localSheetId="47">'Div 3'!$D$189:$M$189</definedName>
    <definedName name="OSRRefD20_18x" localSheetId="71">'Div 4'!$D$94:$M$94</definedName>
    <definedName name="OSRRefD20_18x" localSheetId="2">Summary!$D$217:$M$217</definedName>
    <definedName name="OSRRefD20_19x" localSheetId="48">'300'!$D$193:$M$193</definedName>
    <definedName name="OSRRefD20_19x" localSheetId="49">'300 &amp; 317'!$D$217:$M$217</definedName>
    <definedName name="OSRRefD20_19x" localSheetId="50">'301'!$D$88:$M$88</definedName>
    <definedName name="OSRRefD20_19x" localSheetId="72">'310 &amp; 491'!$D$109:$M$109</definedName>
    <definedName name="OSRRefD20_19x" localSheetId="59">'326'!$D$113:$M$113</definedName>
    <definedName name="OSRRefD20_19x" localSheetId="57">'331'!$D$153:$M$153</definedName>
    <definedName name="OSRRefD20_19x" localSheetId="73">'491'!$D$102:$M$102</definedName>
    <definedName name="OSRRefD20_19x" localSheetId="39">'Div 2'!$D$88:$M$88</definedName>
    <definedName name="OSRRefD20_19x" localSheetId="47">'Div 3'!$D$194:$M$194</definedName>
    <definedName name="OSRRefD20_19x" localSheetId="71">'Div 4'!$D$97:$M$97</definedName>
    <definedName name="OSRRefD20_19x" localSheetId="2">Summary!$D$222:$M$222</definedName>
    <definedName name="OSRRefD20_1x" localSheetId="40">'200'!$D$20:$M$20</definedName>
    <definedName name="OSRRefD20_1x" localSheetId="41">'201'!$D$28:$M$28</definedName>
    <definedName name="OSRRefD20_1x" localSheetId="42">'202'!$D$28:$M$28</definedName>
    <definedName name="OSRRefD20_1x" localSheetId="43">'203'!$D$29:$M$29</definedName>
    <definedName name="OSRRefD20_1x" localSheetId="44">'204'!$D$29:$M$29</definedName>
    <definedName name="OSRRefD20_1x" localSheetId="45">'205'!$D$28:$M$28</definedName>
    <definedName name="OSRRefD20_1x" localSheetId="46">'206'!$D$28:$M$28</definedName>
    <definedName name="OSRRefD20_1x" localSheetId="48">'300'!$D$133:$M$133</definedName>
    <definedName name="OSRRefD20_1x" localSheetId="49">'300 &amp; 317'!$D$157:$M$157</definedName>
    <definedName name="OSRRefD20_1x" localSheetId="50">'301'!$D$30:$M$30</definedName>
    <definedName name="OSRRefD20_1x" localSheetId="51">'306'!$D$28:$M$28</definedName>
    <definedName name="OSRRefD20_1x" localSheetId="53">'307'!$D$46:$M$46</definedName>
    <definedName name="OSRRefD20_1x" localSheetId="54">'308'!$D$68:$M$68</definedName>
    <definedName name="OSRRefD20_1x" localSheetId="65">'309'!$D$29:$M$29</definedName>
    <definedName name="OSRRefD20_1x" localSheetId="64">'310'!$D$38:$M$38</definedName>
    <definedName name="OSRRefD20_1x" localSheetId="72">'310 &amp; 491'!$D$44:$M$44</definedName>
    <definedName name="OSRRefD20_1x" localSheetId="55">'311'!$D$67:$M$67</definedName>
    <definedName name="OSRRefD20_1x" localSheetId="66">'313'!$D$33:$M$33</definedName>
    <definedName name="OSRRefD20_1x" localSheetId="58">'315'!$D$89:$M$89</definedName>
    <definedName name="OSRRefD20_1x" localSheetId="61">'316'!$D$40:$M$40</definedName>
    <definedName name="OSRRefD20_1x" localSheetId="63">'317'!$D$62:$M$62</definedName>
    <definedName name="OSRRefD20_1x" localSheetId="67">'321'!$D$32:$M$32</definedName>
    <definedName name="OSRRefD20_1x" localSheetId="68">'322'!$D$30:$M$30</definedName>
    <definedName name="OSRRefD20_1x" localSheetId="56">'324'!$D$34:$M$34</definedName>
    <definedName name="OSRRefD20_1x" localSheetId="69">'325'!$D$29:$M$29</definedName>
    <definedName name="OSRRefD20_1x" localSheetId="59">'326'!$D$56:$M$56</definedName>
    <definedName name="OSRRefD20_1x" localSheetId="70">'327'!$D$24:$M$24</definedName>
    <definedName name="OSRRefD20_1x" localSheetId="52">'330'!$D$50:$M$50</definedName>
    <definedName name="OSRRefD20_1x" localSheetId="57">'331'!$D$90:$M$90</definedName>
    <definedName name="OSRRefD20_1x" localSheetId="60">'332'!$D$42:$M$42</definedName>
    <definedName name="OSRRefD20_1x" localSheetId="74">'405'!$D$31:$M$31</definedName>
    <definedName name="OSRRefD20_1x" localSheetId="75">'406'!$D$20:$M$20</definedName>
    <definedName name="OSRRefD20_1x" localSheetId="76">'411'!$D$28:$M$28</definedName>
    <definedName name="OSRRefD20_1x" localSheetId="77">'412'!$D$29:$M$29</definedName>
    <definedName name="OSRRefD20_1x" localSheetId="78">'413'!$D$31:$M$31</definedName>
    <definedName name="OSRRefD20_1x" localSheetId="79">'414'!$D$33:$M$33</definedName>
    <definedName name="OSRRefD20_1x" localSheetId="80">'415'!$D$35:$M$35</definedName>
    <definedName name="OSRRefD20_1x" localSheetId="81">'418'!$D$31:$M$31</definedName>
    <definedName name="OSRRefD20_1x" localSheetId="82">'420'!$D$22:$M$22</definedName>
    <definedName name="OSRRefD20_1x" localSheetId="83">'423'!$D$27:$M$27</definedName>
    <definedName name="OSRRefD20_1x" localSheetId="84">'424'!$D$20:$M$20</definedName>
    <definedName name="OSRRefD20_1x" localSheetId="85">'425'!$D$25:$M$25</definedName>
    <definedName name="OSRRefD20_1x" localSheetId="88">'430'!$D$28:$M$28</definedName>
    <definedName name="OSRRefD20_1x" localSheetId="89">'433'!$D$36:$M$36</definedName>
    <definedName name="OSRRefD20_1x" localSheetId="91">'444'!$D$36:$M$36</definedName>
    <definedName name="OSRRefD20_1x" localSheetId="92">'450'!$D$32:$M$32</definedName>
    <definedName name="OSRRefD20_1x" localSheetId="73">'491'!$D$38:$M$38</definedName>
    <definedName name="OSRRefD20_1x" localSheetId="87">'492'!$D$36:$M$36</definedName>
    <definedName name="OSRRefD20_1x" localSheetId="94">'501'!$D$31:$M$31</definedName>
    <definedName name="OSRRefD20_1x" localSheetId="39">'Div 2'!$D$30:$M$30</definedName>
    <definedName name="OSRRefD20_1x" localSheetId="47">'Div 3'!$D$137:$M$137</definedName>
    <definedName name="OSRRefD20_1x" localSheetId="71">'Div 4'!$D$41:$M$41</definedName>
    <definedName name="OSRRefD20_1x" localSheetId="93">'Div 5'!$D$31:$M$31</definedName>
    <definedName name="OSRRefD20_1x" localSheetId="62">'Div 6'!$D$62:$M$62</definedName>
    <definedName name="OSRRefD20_1x" localSheetId="2">Summary!$D$167:$M$167</definedName>
    <definedName name="OSRRefD20_20x" localSheetId="48">'300'!$D$196:$M$196</definedName>
    <definedName name="OSRRefD20_20x" localSheetId="49">'300 &amp; 317'!$D$220:$M$220</definedName>
    <definedName name="OSRRefD20_20x" localSheetId="50">'301'!$D$90:$M$90</definedName>
    <definedName name="OSRRefD20_20x" localSheetId="72">'310 &amp; 491'!$D$112:$M$112</definedName>
    <definedName name="OSRRefD20_20x" localSheetId="57">'331'!$D$155:$M$155</definedName>
    <definedName name="OSRRefD20_20x" localSheetId="73">'491'!$D$105:$M$105</definedName>
    <definedName name="OSRRefD20_20x" localSheetId="47">'Div 3'!$D$199:$M$199</definedName>
    <definedName name="OSRRefD20_20x" localSheetId="71">'Div 4'!$D$109:$M$109</definedName>
    <definedName name="OSRRefD20_20x" localSheetId="2">Summary!$D$227:$M$227</definedName>
    <definedName name="OSRRefD20_21x" localSheetId="48">'300'!$D$206:$M$206</definedName>
    <definedName name="OSRRefD20_21x" localSheetId="49">'300 &amp; 317'!$D$230:$M$230</definedName>
    <definedName name="OSRRefD20_21x" localSheetId="50">'301'!$D$92:$M$92</definedName>
    <definedName name="OSRRefD20_21x" localSheetId="72">'310 &amp; 491'!$D$114:$M$114</definedName>
    <definedName name="OSRRefD20_21x" localSheetId="57">'331'!$D$158:$M$158</definedName>
    <definedName name="OSRRefD20_21x" localSheetId="73">'491'!$D$107:$M$107</definedName>
    <definedName name="OSRRefD20_21x" localSheetId="47">'Div 3'!$D$202:$M$202</definedName>
    <definedName name="OSRRefD20_21x" localSheetId="71">'Div 4'!$D$112:$M$112</definedName>
    <definedName name="OSRRefD20_21x" localSheetId="2">Summary!$D$233:$M$233</definedName>
    <definedName name="OSRRefD20_22x" localSheetId="48">'300'!$D$209:$M$209</definedName>
    <definedName name="OSRRefD20_22x" localSheetId="49">'300 &amp; 317'!$D$233:$M$233</definedName>
    <definedName name="OSRRefD20_22x" localSheetId="50">'301'!$D$95:$M$95</definedName>
    <definedName name="OSRRefD20_22x" localSheetId="72">'310 &amp; 491'!$D$116:$M$116</definedName>
    <definedName name="OSRRefD20_22x" localSheetId="73">'491'!$D$109:$M$109</definedName>
    <definedName name="OSRRefD20_22x" localSheetId="47">'Div 3'!$D$212:$M$212</definedName>
    <definedName name="OSRRefD20_22x" localSheetId="71">'Div 4'!$D$114:$M$114</definedName>
    <definedName name="OSRRefD20_22x" localSheetId="2">Summary!$D$236:$M$236</definedName>
    <definedName name="OSRRefD20_23x" localSheetId="48">'300'!$D$211:$M$211</definedName>
    <definedName name="OSRRefD20_23x" localSheetId="49">'300 &amp; 317'!$D$235:$M$235</definedName>
    <definedName name="OSRRefD20_23x" localSheetId="47">'Div 3'!$D$215:$M$215</definedName>
    <definedName name="OSRRefD20_23x" localSheetId="71">'Div 4'!$D$118:$M$118</definedName>
    <definedName name="OSRRefD20_23x" localSheetId="2">Summary!$D$248:$M$248</definedName>
    <definedName name="OSRRefD20_24x" localSheetId="48">'300'!$D$215:$M$215</definedName>
    <definedName name="OSRRefD20_24x" localSheetId="49">'300 &amp; 317'!$D$239:$M$239</definedName>
    <definedName name="OSRRefD20_24x" localSheetId="47">'Div 3'!$D$217:$M$217</definedName>
    <definedName name="OSRRefD20_24x" localSheetId="2">Summary!$D$251:$M$251</definedName>
    <definedName name="OSRRefD20_25x" localSheetId="47">'Div 3'!$D$221:$M$221</definedName>
    <definedName name="OSRRefD20_25x" localSheetId="2">Summary!$D$253:$M$253</definedName>
    <definedName name="OSRRefD20_26x" localSheetId="2">Summary!$D$257:$M$257</definedName>
    <definedName name="OSRRefD20_2x" localSheetId="40">'200'!$D$22:$M$22</definedName>
    <definedName name="OSRRefD20_2x" localSheetId="41">'201'!$D$39:$M$39</definedName>
    <definedName name="OSRRefD20_2x" localSheetId="42">'202'!$D$39:$M$39</definedName>
    <definedName name="OSRRefD20_2x" localSheetId="43">'203'!$D$40:$M$40</definedName>
    <definedName name="OSRRefD20_2x" localSheetId="44">'204'!$D$40:$M$40</definedName>
    <definedName name="OSRRefD20_2x" localSheetId="45">'205'!$D$39:$M$39</definedName>
    <definedName name="OSRRefD20_2x" localSheetId="46">'206'!$D$39:$M$39</definedName>
    <definedName name="OSRRefD20_2x" localSheetId="48">'300'!$D$144:$M$144</definedName>
    <definedName name="OSRRefD20_2x" localSheetId="49">'300 &amp; 317'!$D$168:$M$168</definedName>
    <definedName name="OSRRefD20_2x" localSheetId="50">'301'!$D$41:$M$41</definedName>
    <definedName name="OSRRefD20_2x" localSheetId="51">'306'!$D$39:$M$39</definedName>
    <definedName name="OSRRefD20_2x" localSheetId="53">'307'!$D$57:$M$57</definedName>
    <definedName name="OSRRefD20_2x" localSheetId="54">'308'!$D$79:$M$79</definedName>
    <definedName name="OSRRefD20_2x" localSheetId="65">'309'!$D$40:$M$40</definedName>
    <definedName name="OSRRefD20_2x" localSheetId="64">'310'!$D$49:$M$49</definedName>
    <definedName name="OSRRefD20_2x" localSheetId="72">'310 &amp; 491'!$D$55:$M$55</definedName>
    <definedName name="OSRRefD20_2x" localSheetId="55">'311'!$D$78:$M$78</definedName>
    <definedName name="OSRRefD20_2x" localSheetId="66">'313'!$D$44:$M$44</definedName>
    <definedName name="OSRRefD20_2x" localSheetId="58">'315'!$D$100:$M$100</definedName>
    <definedName name="OSRRefD20_2x" localSheetId="61">'316'!$D$51:$M$51</definedName>
    <definedName name="OSRRefD20_2x" localSheetId="63">'317'!$D$73:$M$73</definedName>
    <definedName name="OSRRefD20_2x" localSheetId="67">'321'!$D$43:$M$43</definedName>
    <definedName name="OSRRefD20_2x" localSheetId="68">'322'!$D$41:$M$41</definedName>
    <definedName name="OSRRefD20_2x" localSheetId="69">'325'!$D$40:$M$40</definedName>
    <definedName name="OSRRefD20_2x" localSheetId="59">'326'!$D$67:$M$67</definedName>
    <definedName name="OSRRefD20_2x" localSheetId="52">'330'!$D$61:$M$61</definedName>
    <definedName name="OSRRefD20_2x" localSheetId="57">'331'!$D$101:$M$101</definedName>
    <definedName name="OSRRefD20_2x" localSheetId="60">'332'!$D$53:$M$53</definedName>
    <definedName name="OSRRefD20_2x" localSheetId="74">'405'!$D$42:$M$42</definedName>
    <definedName name="OSRRefD20_2x" localSheetId="75">'406'!$D$22:$M$22</definedName>
    <definedName name="OSRRefD20_2x" localSheetId="76">'411'!$D$39:$M$39</definedName>
    <definedName name="OSRRefD20_2x" localSheetId="77">'412'!$D$40:$M$40</definedName>
    <definedName name="OSRRefD20_2x" localSheetId="78">'413'!$D$42:$M$42</definedName>
    <definedName name="OSRRefD20_2x" localSheetId="79">'414'!$D$44:$M$44</definedName>
    <definedName name="OSRRefD20_2x" localSheetId="80">'415'!$D$46:$M$46</definedName>
    <definedName name="OSRRefD20_2x" localSheetId="81">'418'!$D$42:$M$42</definedName>
    <definedName name="OSRRefD20_2x" localSheetId="83">'423'!$D$38:$M$38</definedName>
    <definedName name="OSRRefD20_2x" localSheetId="84">'424'!$D$22:$M$22</definedName>
    <definedName name="OSRRefD20_2x" localSheetId="85">'425'!$D$27:$M$27</definedName>
    <definedName name="OSRRefD20_2x" localSheetId="88">'430'!$D$39:$M$39</definedName>
    <definedName name="OSRRefD20_2x" localSheetId="89">'433'!$D$47:$M$47</definedName>
    <definedName name="OSRRefD20_2x" localSheetId="91">'444'!$D$47:$M$47</definedName>
    <definedName name="OSRRefD20_2x" localSheetId="92">'450'!$D$43:$M$43</definedName>
    <definedName name="OSRRefD20_2x" localSheetId="73">'491'!$D$49:$M$49</definedName>
    <definedName name="OSRRefD20_2x" localSheetId="87">'492'!$D$47:$M$47</definedName>
    <definedName name="OSRRefD20_2x" localSheetId="94">'501'!$D$42:$M$42</definedName>
    <definedName name="OSRRefD20_2x" localSheetId="39">'Div 2'!$D$41:$M$41</definedName>
    <definedName name="OSRRefD20_2x" localSheetId="47">'Div 3'!$D$148:$M$148</definedName>
    <definedName name="OSRRefD20_2x" localSheetId="71">'Div 4'!$D$52:$M$52</definedName>
    <definedName name="OSRRefD20_2x" localSheetId="93">'Div 5'!$D$42:$M$42</definedName>
    <definedName name="OSRRefD20_2x" localSheetId="62">'Div 6'!$D$73:$M$73</definedName>
    <definedName name="OSRRefD20_2x" localSheetId="2">Summary!$D$178:$M$178</definedName>
    <definedName name="OSRRefD20_3x" localSheetId="40">'200'!$D$24:$M$24</definedName>
    <definedName name="OSRRefD20_3x" localSheetId="41">'201'!$D$41:$M$41</definedName>
    <definedName name="OSRRefD20_3x" localSheetId="42">'202'!$D$41:$M$41</definedName>
    <definedName name="OSRRefD20_3x" localSheetId="43">'203'!$D$42:$M$42</definedName>
    <definedName name="OSRRefD20_3x" localSheetId="44">'204'!$D$42:$M$42</definedName>
    <definedName name="OSRRefD20_3x" localSheetId="45">'205'!$D$41:$M$41</definedName>
    <definedName name="OSRRefD20_3x" localSheetId="46">'206'!$D$41:$M$41</definedName>
    <definedName name="OSRRefD20_3x" localSheetId="48">'300'!$D$146:$M$146</definedName>
    <definedName name="OSRRefD20_3x" localSheetId="49">'300 &amp; 317'!$D$170:$M$170</definedName>
    <definedName name="OSRRefD20_3x" localSheetId="50">'301'!$D$43:$M$43</definedName>
    <definedName name="OSRRefD20_3x" localSheetId="51">'306'!$D$41:$M$41</definedName>
    <definedName name="OSRRefD20_3x" localSheetId="53">'307'!$D$59:$M$59</definedName>
    <definedName name="OSRRefD20_3x" localSheetId="54">'308'!$D$81:$M$81</definedName>
    <definedName name="OSRRefD20_3x" localSheetId="65">'309'!$D$42:$M$42</definedName>
    <definedName name="OSRRefD20_3x" localSheetId="64">'310'!$D$51:$M$51</definedName>
    <definedName name="OSRRefD20_3x" localSheetId="72">'310 &amp; 491'!$D$57:$M$57</definedName>
    <definedName name="OSRRefD20_3x" localSheetId="55">'311'!$D$80:$M$80</definedName>
    <definedName name="OSRRefD20_3x" localSheetId="66">'313'!$D$46:$M$46</definedName>
    <definedName name="OSRRefD20_3x" localSheetId="58">'315'!$D$102:$M$102</definedName>
    <definedName name="OSRRefD20_3x" localSheetId="61">'316'!$D$53:$M$53</definedName>
    <definedName name="OSRRefD20_3x" localSheetId="63">'317'!$D$75:$M$75</definedName>
    <definedName name="OSRRefD20_3x" localSheetId="67">'321'!$D$45:$M$45</definedName>
    <definedName name="OSRRefD20_3x" localSheetId="68">'322'!$D$43:$M$43</definedName>
    <definedName name="OSRRefD20_3x" localSheetId="69">'325'!$D$42:$M$42</definedName>
    <definedName name="OSRRefD20_3x" localSheetId="59">'326'!$D$69:$M$69</definedName>
    <definedName name="OSRRefD20_3x" localSheetId="52">'330'!$D$63:$M$63</definedName>
    <definedName name="OSRRefD20_3x" localSheetId="57">'331'!$D$103:$M$103</definedName>
    <definedName name="OSRRefD20_3x" localSheetId="60">'332'!$D$55:$M$55</definedName>
    <definedName name="OSRRefD20_3x" localSheetId="74">'405'!$D$44:$M$44</definedName>
    <definedName name="OSRRefD20_3x" localSheetId="75">'406'!$D$24:$M$24</definedName>
    <definedName name="OSRRefD20_3x" localSheetId="76">'411'!$D$41:$M$41</definedName>
    <definedName name="OSRRefD20_3x" localSheetId="77">'412'!$D$42:$M$42</definedName>
    <definedName name="OSRRefD20_3x" localSheetId="78">'413'!$D$44:$M$44</definedName>
    <definedName name="OSRRefD20_3x" localSheetId="79">'414'!$D$46:$M$46</definedName>
    <definedName name="OSRRefD20_3x" localSheetId="80">'415'!$D$48:$M$48</definedName>
    <definedName name="OSRRefD20_3x" localSheetId="81">'418'!$D$44:$M$44</definedName>
    <definedName name="OSRRefD20_3x" localSheetId="83">'423'!$D$40:$M$40</definedName>
    <definedName name="OSRRefD20_3x" localSheetId="84">'424'!$D$24:$M$24</definedName>
    <definedName name="OSRRefD20_3x" localSheetId="85">'425'!$D$29:$M$29</definedName>
    <definedName name="OSRRefD20_3x" localSheetId="88">'430'!$D$41:$M$41</definedName>
    <definedName name="OSRRefD20_3x" localSheetId="89">'433'!$D$49:$M$49</definedName>
    <definedName name="OSRRefD20_3x" localSheetId="91">'444'!$D$49:$M$49</definedName>
    <definedName name="OSRRefD20_3x" localSheetId="92">'450'!$D$45:$M$45</definedName>
    <definedName name="OSRRefD20_3x" localSheetId="73">'491'!$D$51:$M$51</definedName>
    <definedName name="OSRRefD20_3x" localSheetId="87">'492'!$D$49:$M$49</definedName>
    <definedName name="OSRRefD20_3x" localSheetId="94">'501'!$D$44:$M$44</definedName>
    <definedName name="OSRRefD20_3x" localSheetId="39">'Div 2'!$D$43:$M$43</definedName>
    <definedName name="OSRRefD20_3x" localSheetId="47">'Div 3'!$D$150:$M$150</definedName>
    <definedName name="OSRRefD20_3x" localSheetId="71">'Div 4'!$D$54:$M$54</definedName>
    <definedName name="OSRRefD20_3x" localSheetId="93">'Div 5'!$D$44:$M$44</definedName>
    <definedName name="OSRRefD20_3x" localSheetId="62">'Div 6'!$D$75:$M$75</definedName>
    <definedName name="OSRRefD20_3x" localSheetId="2">Summary!$D$180:$M$180</definedName>
    <definedName name="OSRRefD20_4x" localSheetId="41">'201'!$D$43:$M$43</definedName>
    <definedName name="OSRRefD20_4x" localSheetId="42">'202'!$D$43:$M$43</definedName>
    <definedName name="OSRRefD20_4x" localSheetId="43">'203'!$D$44:$M$44</definedName>
    <definedName name="OSRRefD20_4x" localSheetId="44">'204'!$D$44:$M$44</definedName>
    <definedName name="OSRRefD20_4x" localSheetId="45">'205'!$D$43:$M$43</definedName>
    <definedName name="OSRRefD20_4x" localSheetId="46">'206'!$D$43:$M$43</definedName>
    <definedName name="OSRRefD20_4x" localSheetId="48">'300'!$D$149:$M$149</definedName>
    <definedName name="OSRRefD20_4x" localSheetId="49">'300 &amp; 317'!$D$173:$M$173</definedName>
    <definedName name="OSRRefD20_4x" localSheetId="50">'301'!$D$46:$M$46</definedName>
    <definedName name="OSRRefD20_4x" localSheetId="51">'306'!$D$43:$M$43</definedName>
    <definedName name="OSRRefD20_4x" localSheetId="53">'307'!$D$61:$M$61</definedName>
    <definedName name="OSRRefD20_4x" localSheetId="54">'308'!$D$84:$M$84</definedName>
    <definedName name="OSRRefD20_4x" localSheetId="65">'309'!$D$44:$M$44</definedName>
    <definedName name="OSRRefD20_4x" localSheetId="64">'310'!$D$53:$M$53</definedName>
    <definedName name="OSRRefD20_4x" localSheetId="72">'310 &amp; 491'!$D$59:$M$59</definedName>
    <definedName name="OSRRefD20_4x" localSheetId="55">'311'!$D$83:$M$83</definedName>
    <definedName name="OSRRefD20_4x" localSheetId="66">'313'!$D$48:$M$48</definedName>
    <definedName name="OSRRefD20_4x" localSheetId="58">'315'!$D$104:$M$104</definedName>
    <definedName name="OSRRefD20_4x" localSheetId="61">'316'!$D$55:$M$55</definedName>
    <definedName name="OSRRefD20_4x" localSheetId="63">'317'!$D$77:$M$77</definedName>
    <definedName name="OSRRefD20_4x" localSheetId="67">'321'!$D$47:$M$47</definedName>
    <definedName name="OSRRefD20_4x" localSheetId="68">'322'!$D$45:$M$45</definedName>
    <definedName name="OSRRefD20_4x" localSheetId="69">'325'!$D$44:$M$44</definedName>
    <definedName name="OSRRefD20_4x" localSheetId="59">'326'!$D$71:$M$71</definedName>
    <definedName name="OSRRefD20_4x" localSheetId="52">'330'!$D$65:$M$65</definedName>
    <definedName name="OSRRefD20_4x" localSheetId="57">'331'!$D$105:$M$105</definedName>
    <definedName name="OSRRefD20_4x" localSheetId="60">'332'!$D$57:$M$57</definedName>
    <definedName name="OSRRefD20_4x" localSheetId="74">'405'!$D$46:$M$46</definedName>
    <definedName name="OSRRefD20_4x" localSheetId="75">'406'!$D$26:$M$26</definedName>
    <definedName name="OSRRefD20_4x" localSheetId="76">'411'!$D$43:$M$43</definedName>
    <definedName name="OSRRefD20_4x" localSheetId="77">'412'!$D$44:$M$44</definedName>
    <definedName name="OSRRefD20_4x" localSheetId="78">'413'!$D$46:$M$46</definedName>
    <definedName name="OSRRefD20_4x" localSheetId="79">'414'!$D$48:$M$48</definedName>
    <definedName name="OSRRefD20_4x" localSheetId="80">'415'!$D$50:$M$50</definedName>
    <definedName name="OSRRefD20_4x" localSheetId="81">'418'!$D$46:$M$46</definedName>
    <definedName name="OSRRefD20_4x" localSheetId="83">'423'!$D$43:$M$43</definedName>
    <definedName name="OSRRefD20_4x" localSheetId="85">'425'!$D$31:$M$31</definedName>
    <definedName name="OSRRefD20_4x" localSheetId="88">'430'!$D$43:$M$43</definedName>
    <definedName name="OSRRefD20_4x" localSheetId="89">'433'!$D$51:$M$51</definedName>
    <definedName name="OSRRefD20_4x" localSheetId="91">'444'!$D$51:$M$51</definedName>
    <definedName name="OSRRefD20_4x" localSheetId="92">'450'!$D$47:$M$47</definedName>
    <definedName name="OSRRefD20_4x" localSheetId="73">'491'!$D$53:$M$53</definedName>
    <definedName name="OSRRefD20_4x" localSheetId="87">'492'!$D$51:$M$51</definedName>
    <definedName name="OSRRefD20_4x" localSheetId="94">'501'!$D$46:$M$46</definedName>
    <definedName name="OSRRefD20_4x" localSheetId="39">'Div 2'!$D$45:$M$45</definedName>
    <definedName name="OSRRefD20_4x" localSheetId="47">'Div 3'!$D$153:$M$153</definedName>
    <definedName name="OSRRefD20_4x" localSheetId="71">'Div 4'!$D$56:$M$56</definedName>
    <definedName name="OSRRefD20_4x" localSheetId="93">'Div 5'!$D$46:$M$46</definedName>
    <definedName name="OSRRefD20_4x" localSheetId="62">'Div 6'!$D$77:$M$77</definedName>
    <definedName name="OSRRefD20_4x" localSheetId="2">Summary!$D$183:$M$183</definedName>
    <definedName name="OSRRefD20_5x" localSheetId="41">'201'!$D$45:$M$45</definedName>
    <definedName name="OSRRefD20_5x" localSheetId="42">'202'!$D$46:$M$46</definedName>
    <definedName name="OSRRefD20_5x" localSheetId="43">'203'!$D$46:$M$46</definedName>
    <definedName name="OSRRefD20_5x" localSheetId="44">'204'!$D$46:$M$46</definedName>
    <definedName name="OSRRefD20_5x" localSheetId="45">'205'!$D$46:$M$46</definedName>
    <definedName name="OSRRefD20_5x" localSheetId="46">'206'!$D$45:$M$45</definedName>
    <definedName name="OSRRefD20_5x" localSheetId="48">'300'!$D$151:$M$151</definedName>
    <definedName name="OSRRefD20_5x" localSheetId="49">'300 &amp; 317'!$D$175:$M$175</definedName>
    <definedName name="OSRRefD20_5x" localSheetId="50">'301'!$D$48:$M$48</definedName>
    <definedName name="OSRRefD20_5x" localSheetId="51">'306'!$D$45:$M$45</definedName>
    <definedName name="OSRRefD20_5x" localSheetId="53">'307'!$D$63:$M$63</definedName>
    <definedName name="OSRRefD20_5x" localSheetId="54">'308'!$D$86:$M$86</definedName>
    <definedName name="OSRRefD20_5x" localSheetId="65">'309'!$D$46:$M$46</definedName>
    <definedName name="OSRRefD20_5x" localSheetId="64">'310'!$D$55:$M$55</definedName>
    <definedName name="OSRRefD20_5x" localSheetId="72">'310 &amp; 491'!$D$61:$M$61</definedName>
    <definedName name="OSRRefD20_5x" localSheetId="55">'311'!$D$85:$M$85</definedName>
    <definedName name="OSRRefD20_5x" localSheetId="66">'313'!$D$50:$M$50</definedName>
    <definedName name="OSRRefD20_5x" localSheetId="58">'315'!$D$106:$M$106</definedName>
    <definedName name="OSRRefD20_5x" localSheetId="61">'316'!$D$57:$M$57</definedName>
    <definedName name="OSRRefD20_5x" localSheetId="63">'317'!$D$79:$M$79</definedName>
    <definedName name="OSRRefD20_5x" localSheetId="67">'321'!$D$49:$M$49</definedName>
    <definedName name="OSRRefD20_5x" localSheetId="68">'322'!$D$47:$M$47</definedName>
    <definedName name="OSRRefD20_5x" localSheetId="69">'325'!$D$46:$M$46</definedName>
    <definedName name="OSRRefD20_5x" localSheetId="59">'326'!$D$73:$M$73</definedName>
    <definedName name="OSRRefD20_5x" localSheetId="52">'330'!$D$67:$M$67</definedName>
    <definedName name="OSRRefD20_5x" localSheetId="57">'331'!$D$107:$M$107</definedName>
    <definedName name="OSRRefD20_5x" localSheetId="60">'332'!$D$59:$M$59</definedName>
    <definedName name="OSRRefD20_5x" localSheetId="74">'405'!$D$49:$M$49</definedName>
    <definedName name="OSRRefD20_5x" localSheetId="76">'411'!$D$46:$M$46</definedName>
    <definedName name="OSRRefD20_5x" localSheetId="77">'412'!$D$47:$M$47</definedName>
    <definedName name="OSRRefD20_5x" localSheetId="78">'413'!$D$48:$M$48</definedName>
    <definedName name="OSRRefD20_5x" localSheetId="79">'414'!$D$50:$M$50</definedName>
    <definedName name="OSRRefD20_5x" localSheetId="80">'415'!$D$52:$M$52</definedName>
    <definedName name="OSRRefD20_5x" localSheetId="81">'418'!$D$49:$M$49</definedName>
    <definedName name="OSRRefD20_5x" localSheetId="83">'423'!$D$45:$M$45</definedName>
    <definedName name="OSRRefD20_5x" localSheetId="85">'425'!$D$34:$M$34</definedName>
    <definedName name="OSRRefD20_5x" localSheetId="88">'430'!$D$47:$M$47</definedName>
    <definedName name="OSRRefD20_5x" localSheetId="89">'433'!$D$53:$M$53</definedName>
    <definedName name="OSRRefD20_5x" localSheetId="91">'444'!$D$53:$M$53</definedName>
    <definedName name="OSRRefD20_5x" localSheetId="92">'450'!$D$49:$M$49</definedName>
    <definedName name="OSRRefD20_5x" localSheetId="73">'491'!$D$55:$M$55</definedName>
    <definedName name="OSRRefD20_5x" localSheetId="87">'492'!$D$53:$M$53</definedName>
    <definedName name="OSRRefD20_5x" localSheetId="94">'501'!$D$48:$M$48</definedName>
    <definedName name="OSRRefD20_5x" localSheetId="39">'Div 2'!$D$47:$M$47</definedName>
    <definedName name="OSRRefD20_5x" localSheetId="47">'Div 3'!$D$155:$M$155</definedName>
    <definedName name="OSRRefD20_5x" localSheetId="71">'Div 4'!$D$58:$M$58</definedName>
    <definedName name="OSRRefD20_5x" localSheetId="93">'Div 5'!$D$48:$M$48</definedName>
    <definedName name="OSRRefD20_5x" localSheetId="62">'Div 6'!$D$79:$M$79</definedName>
    <definedName name="OSRRefD20_5x" localSheetId="2">Summary!$D$185:$M$185</definedName>
    <definedName name="OSRRefD20_6x" localSheetId="41">'201'!$D$47:$M$47</definedName>
    <definedName name="OSRRefD20_6x" localSheetId="42">'202'!$D$48:$M$48</definedName>
    <definedName name="OSRRefD20_6x" localSheetId="43">'203'!$D$48:$M$48</definedName>
    <definedName name="OSRRefD20_6x" localSheetId="44">'204'!$D$50:$M$50</definedName>
    <definedName name="OSRRefD20_6x" localSheetId="45">'205'!$D$48:$M$48</definedName>
    <definedName name="OSRRefD20_6x" localSheetId="46">'206'!$D$47:$M$47</definedName>
    <definedName name="OSRRefD20_6x" localSheetId="48">'300'!$D$154:$M$154</definedName>
    <definedName name="OSRRefD20_6x" localSheetId="49">'300 &amp; 317'!$D$178:$M$178</definedName>
    <definedName name="OSRRefD20_6x" localSheetId="50">'301'!$D$51:$M$51</definedName>
    <definedName name="OSRRefD20_6x" localSheetId="51">'306'!$D$47:$M$47</definedName>
    <definedName name="OSRRefD20_6x" localSheetId="53">'307'!$D$66:$M$66</definedName>
    <definedName name="OSRRefD20_6x" localSheetId="54">'308'!$D$88:$M$88</definedName>
    <definedName name="OSRRefD20_6x" localSheetId="65">'309'!$D$48:$M$48</definedName>
    <definedName name="OSRRefD20_6x" localSheetId="64">'310'!$D$58:$M$58</definedName>
    <definedName name="OSRRefD20_6x" localSheetId="72">'310 &amp; 491'!$D$65:$M$65</definedName>
    <definedName name="OSRRefD20_6x" localSheetId="55">'311'!$D$87:$M$87</definedName>
    <definedName name="OSRRefD20_6x" localSheetId="66">'313'!$D$52:$M$52</definedName>
    <definedName name="OSRRefD20_6x" localSheetId="58">'315'!$D$109:$M$109</definedName>
    <definedName name="OSRRefD20_6x" localSheetId="61">'316'!$D$59:$M$59</definedName>
    <definedName name="OSRRefD20_6x" localSheetId="63">'317'!$D$81:$M$81</definedName>
    <definedName name="OSRRefD20_6x" localSheetId="67">'321'!$D$51:$M$51</definedName>
    <definedName name="OSRRefD20_6x" localSheetId="68">'322'!$D$49:$M$49</definedName>
    <definedName name="OSRRefD20_6x" localSheetId="69">'325'!$D$49:$M$49</definedName>
    <definedName name="OSRRefD20_6x" localSheetId="59">'326'!$D$75:$M$75</definedName>
    <definedName name="OSRRefD20_6x" localSheetId="52">'330'!$D$70:$M$70</definedName>
    <definedName name="OSRRefD20_6x" localSheetId="57">'331'!$D$110:$M$110</definedName>
    <definedName name="OSRRefD20_6x" localSheetId="60">'332'!$D$61:$M$61</definedName>
    <definedName name="OSRRefD20_6x" localSheetId="74">'405'!$D$51:$M$51</definedName>
    <definedName name="OSRRefD20_6x" localSheetId="76">'411'!$D$48:$M$48</definedName>
    <definedName name="OSRRefD20_6x" localSheetId="77">'412'!$D$49:$M$49</definedName>
    <definedName name="OSRRefD20_6x" localSheetId="78">'413'!$D$50:$M$50</definedName>
    <definedName name="OSRRefD20_6x" localSheetId="79">'414'!$D$52:$M$52</definedName>
    <definedName name="OSRRefD20_6x" localSheetId="80">'415'!$D$55:$M$55</definedName>
    <definedName name="OSRRefD20_6x" localSheetId="81">'418'!$D$51:$M$51</definedName>
    <definedName name="OSRRefD20_6x" localSheetId="83">'423'!$D$47:$M$47</definedName>
    <definedName name="OSRRefD20_6x" localSheetId="88">'430'!$D$50:$M$50</definedName>
    <definedName name="OSRRefD20_6x" localSheetId="89">'433'!$D$55:$M$55</definedName>
    <definedName name="OSRRefD20_6x" localSheetId="91">'444'!$D$55:$M$55</definedName>
    <definedName name="OSRRefD20_6x" localSheetId="92">'450'!$D$51:$M$51</definedName>
    <definedName name="OSRRefD20_6x" localSheetId="73">'491'!$D$59:$M$59</definedName>
    <definedName name="OSRRefD20_6x" localSheetId="87">'492'!$D$55:$M$55</definedName>
    <definedName name="OSRRefD20_6x" localSheetId="94">'501'!$D$51:$M$51</definedName>
    <definedName name="OSRRefD20_6x" localSheetId="39">'Div 2'!$D$49:$M$49</definedName>
    <definedName name="OSRRefD20_6x" localSheetId="47">'Div 3'!$D$158:$M$158</definedName>
    <definedName name="OSRRefD20_6x" localSheetId="71">'Div 4'!$D$62:$M$62</definedName>
    <definedName name="OSRRefD20_6x" localSheetId="93">'Div 5'!$D$51:$M$51</definedName>
    <definedName name="OSRRefD20_6x" localSheetId="62">'Div 6'!$D$81:$M$81</definedName>
    <definedName name="OSRRefD20_6x" localSheetId="2">Summary!$D$189:$M$189</definedName>
    <definedName name="OSRRefD20_7x" localSheetId="41">'201'!$D$49:$M$49</definedName>
    <definedName name="OSRRefD20_7x" localSheetId="42">'202'!$D$50:$M$50</definedName>
    <definedName name="OSRRefD20_7x" localSheetId="43">'203'!$D$50:$M$50</definedName>
    <definedName name="OSRRefD20_7x" localSheetId="44">'204'!$D$52:$M$52</definedName>
    <definedName name="OSRRefD20_7x" localSheetId="45">'205'!$D$51:$M$51</definedName>
    <definedName name="OSRRefD20_7x" localSheetId="48">'300'!$D$157:$M$157</definedName>
    <definedName name="OSRRefD20_7x" localSheetId="49">'300 &amp; 317'!$D$181:$M$181</definedName>
    <definedName name="OSRRefD20_7x" localSheetId="50">'301'!$D$53:$M$53</definedName>
    <definedName name="OSRRefD20_7x" localSheetId="51">'306'!$D$49:$M$49</definedName>
    <definedName name="OSRRefD20_7x" localSheetId="53">'307'!$D$69:$M$69</definedName>
    <definedName name="OSRRefD20_7x" localSheetId="54">'308'!$D$91:$M$91</definedName>
    <definedName name="OSRRefD20_7x" localSheetId="65">'309'!$D$50:$M$50</definedName>
    <definedName name="OSRRefD20_7x" localSheetId="64">'310'!$D$60:$M$60</definedName>
    <definedName name="OSRRefD20_7x" localSheetId="72">'310 &amp; 491'!$D$67:$M$67</definedName>
    <definedName name="OSRRefD20_7x" localSheetId="55">'311'!$D$90:$M$90</definedName>
    <definedName name="OSRRefD20_7x" localSheetId="58">'315'!$D$111:$M$111</definedName>
    <definedName name="OSRRefD20_7x" localSheetId="61">'316'!$D$62:$M$62</definedName>
    <definedName name="OSRRefD20_7x" localSheetId="63">'317'!$D$84:$M$84</definedName>
    <definedName name="OSRRefD20_7x" localSheetId="67">'321'!$D$54:$M$54</definedName>
    <definedName name="OSRRefD20_7x" localSheetId="68">'322'!$D$52:$M$52</definedName>
    <definedName name="OSRRefD20_7x" localSheetId="69">'325'!$D$51:$M$51</definedName>
    <definedName name="OSRRefD20_7x" localSheetId="59">'326'!$D$77:$M$77</definedName>
    <definedName name="OSRRefD20_7x" localSheetId="52">'330'!$D$73:$M$73</definedName>
    <definedName name="OSRRefD20_7x" localSheetId="57">'331'!$D$112:$M$112</definedName>
    <definedName name="OSRRefD20_7x" localSheetId="60">'332'!$D$64:$M$64</definedName>
    <definedName name="OSRRefD20_7x" localSheetId="74">'405'!$D$53:$M$53</definedName>
    <definedName name="OSRRefD20_7x" localSheetId="76">'411'!$D$50:$M$50</definedName>
    <definedName name="OSRRefD20_7x" localSheetId="77">'412'!$D$51:$M$51</definedName>
    <definedName name="OSRRefD20_7x" localSheetId="78">'413'!$D$53:$M$53</definedName>
    <definedName name="OSRRefD20_7x" localSheetId="79">'414'!$D$54:$M$54</definedName>
    <definedName name="OSRRefD20_7x" localSheetId="80">'415'!$D$57:$M$57</definedName>
    <definedName name="OSRRefD20_7x" localSheetId="81">'418'!$D$53:$M$53</definedName>
    <definedName name="OSRRefD20_7x" localSheetId="88">'430'!$D$52:$M$52</definedName>
    <definedName name="OSRRefD20_7x" localSheetId="89">'433'!$D$57:$M$57</definedName>
    <definedName name="OSRRefD20_7x" localSheetId="91">'444'!$D$57:$M$57</definedName>
    <definedName name="OSRRefD20_7x" localSheetId="92">'450'!$D$53:$M$53</definedName>
    <definedName name="OSRRefD20_7x" localSheetId="73">'491'!$D$61:$M$61</definedName>
    <definedName name="OSRRefD20_7x" localSheetId="87">'492'!$D$57:$M$57</definedName>
    <definedName name="OSRRefD20_7x" localSheetId="94">'501'!$D$53:$M$53</definedName>
    <definedName name="OSRRefD20_7x" localSheetId="39">'Div 2'!$D$51:$M$51</definedName>
    <definedName name="OSRRefD20_7x" localSheetId="47">'Div 3'!$D$161:$M$161</definedName>
    <definedName name="OSRRefD20_7x" localSheetId="71">'Div 4'!$D$64:$M$64</definedName>
    <definedName name="OSRRefD20_7x" localSheetId="93">'Div 5'!$D$53:$M$53</definedName>
    <definedName name="OSRRefD20_7x" localSheetId="62">'Div 6'!$D$84:$M$84</definedName>
    <definedName name="OSRRefD20_7x" localSheetId="2">Summary!$D$192:$M$192</definedName>
    <definedName name="OSRRefD20_8x" localSheetId="41">'201'!$D$51:$M$51</definedName>
    <definedName name="OSRRefD20_8x" localSheetId="42">'202'!$D$54:$M$54</definedName>
    <definedName name="OSRRefD20_8x" localSheetId="43">'203'!$D$52:$M$52</definedName>
    <definedName name="OSRRefD20_8x" localSheetId="44">'204'!$D$54:$M$54</definedName>
    <definedName name="OSRRefD20_8x" localSheetId="48">'300'!$D$159:$M$159</definedName>
    <definedName name="OSRRefD20_8x" localSheetId="49">'300 &amp; 317'!$D$183:$M$183</definedName>
    <definedName name="OSRRefD20_8x" localSheetId="50">'301'!$D$55:$M$55</definedName>
    <definedName name="OSRRefD20_8x" localSheetId="51">'306'!$D$51:$M$51</definedName>
    <definedName name="OSRRefD20_8x" localSheetId="53">'307'!$D$71:$M$71</definedName>
    <definedName name="OSRRefD20_8x" localSheetId="54">'308'!$D$94:$M$94</definedName>
    <definedName name="OSRRefD20_8x" localSheetId="65">'309'!$D$53:$M$53</definedName>
    <definedName name="OSRRefD20_8x" localSheetId="64">'310'!$D$62:$M$62</definedName>
    <definedName name="OSRRefD20_8x" localSheetId="72">'310 &amp; 491'!$D$69:$M$69</definedName>
    <definedName name="OSRRefD20_8x" localSheetId="55">'311'!$D$93:$M$93</definedName>
    <definedName name="OSRRefD20_8x" localSheetId="58">'315'!$D$114:$M$114</definedName>
    <definedName name="OSRRefD20_8x" localSheetId="61">'316'!$D$66:$M$66</definedName>
    <definedName name="OSRRefD20_8x" localSheetId="63">'317'!$D$86:$M$86</definedName>
    <definedName name="OSRRefD20_8x" localSheetId="67">'321'!$D$56:$M$56</definedName>
    <definedName name="OSRRefD20_8x" localSheetId="68">'322'!$D$55:$M$55</definedName>
    <definedName name="OSRRefD20_8x" localSheetId="69">'325'!$D$53:$M$53</definedName>
    <definedName name="OSRRefD20_8x" localSheetId="59">'326'!$D$79:$M$79</definedName>
    <definedName name="OSRRefD20_8x" localSheetId="52">'330'!$D$75:$M$75</definedName>
    <definedName name="OSRRefD20_8x" localSheetId="57">'331'!$D$115:$M$115</definedName>
    <definedName name="OSRRefD20_8x" localSheetId="60">'332'!$D$68:$M$68</definedName>
    <definedName name="OSRRefD20_8x" localSheetId="74">'405'!$D$55:$M$55</definedName>
    <definedName name="OSRRefD20_8x" localSheetId="76">'411'!$D$52:$M$52</definedName>
    <definedName name="OSRRefD20_8x" localSheetId="77">'412'!$D$53:$M$53</definedName>
    <definedName name="OSRRefD20_8x" localSheetId="78">'413'!$D$56:$M$56</definedName>
    <definedName name="OSRRefD20_8x" localSheetId="79">'414'!$D$56:$M$56</definedName>
    <definedName name="OSRRefD20_8x" localSheetId="80">'415'!$D$59:$M$59</definedName>
    <definedName name="OSRRefD20_8x" localSheetId="81">'418'!$D$55:$M$55</definedName>
    <definedName name="OSRRefD20_8x" localSheetId="89">'433'!$D$59:$M$59</definedName>
    <definedName name="OSRRefD20_8x" localSheetId="91">'444'!$D$59:$M$59</definedName>
    <definedName name="OSRRefD20_8x" localSheetId="92">'450'!$D$55:$M$55</definedName>
    <definedName name="OSRRefD20_8x" localSheetId="73">'491'!$D$63:$M$63</definedName>
    <definedName name="OSRRefD20_8x" localSheetId="87">'492'!$D$59:$M$59</definedName>
    <definedName name="OSRRefD20_8x" localSheetId="94">'501'!$D$55:$M$55</definedName>
    <definedName name="OSRRefD20_8x" localSheetId="39">'Div 2'!$D$53:$M$53</definedName>
    <definedName name="OSRRefD20_8x" localSheetId="47">'Div 3'!$D$163:$M$163</definedName>
    <definedName name="OSRRefD20_8x" localSheetId="71">'Div 4'!$D$66:$M$66</definedName>
    <definedName name="OSRRefD20_8x" localSheetId="93">'Div 5'!$D$55:$M$55</definedName>
    <definedName name="OSRRefD20_8x" localSheetId="62">'Div 6'!$D$86:$M$86</definedName>
    <definedName name="OSRRefD20_8x" localSheetId="2">Summary!$D$194:$M$194</definedName>
    <definedName name="OSRRefD20_9x" localSheetId="41">'201'!$D$53:$M$53</definedName>
    <definedName name="OSRRefD20_9x" localSheetId="42">'202'!$D$56:$M$56</definedName>
    <definedName name="OSRRefD20_9x" localSheetId="43">'203'!$D$56:$M$56</definedName>
    <definedName name="OSRRefD20_9x" localSheetId="44">'204'!$D$57:$M$57</definedName>
    <definedName name="OSRRefD20_9x" localSheetId="48">'300'!$D$161:$M$161</definedName>
    <definedName name="OSRRefD20_9x" localSheetId="49">'300 &amp; 317'!$D$185:$M$185</definedName>
    <definedName name="OSRRefD20_9x" localSheetId="50">'301'!$D$57:$M$57</definedName>
    <definedName name="OSRRefD20_9x" localSheetId="53">'307'!$D$74:$M$74</definedName>
    <definedName name="OSRRefD20_9x" localSheetId="54">'308'!$D$96:$M$96</definedName>
    <definedName name="OSRRefD20_9x" localSheetId="65">'309'!$D$56:$M$56</definedName>
    <definedName name="OSRRefD20_9x" localSheetId="64">'310'!$D$64:$M$64</definedName>
    <definedName name="OSRRefD20_9x" localSheetId="72">'310 &amp; 491'!$D$72:$M$72</definedName>
    <definedName name="OSRRefD20_9x" localSheetId="55">'311'!$D$95:$M$95</definedName>
    <definedName name="OSRRefD20_9x" localSheetId="58">'315'!$D$116:$M$116</definedName>
    <definedName name="OSRRefD20_9x" localSheetId="61">'316'!$D$68:$M$68</definedName>
    <definedName name="OSRRefD20_9x" localSheetId="63">'317'!$D$88:$M$88</definedName>
    <definedName name="OSRRefD20_9x" localSheetId="67">'321'!$D$59:$M$59</definedName>
    <definedName name="OSRRefD20_9x" localSheetId="68">'322'!$D$59:$M$59</definedName>
    <definedName name="OSRRefD20_9x" localSheetId="69">'325'!$D$55:$M$55</definedName>
    <definedName name="OSRRefD20_9x" localSheetId="59">'326'!$D$81:$M$81</definedName>
    <definedName name="OSRRefD20_9x" localSheetId="52">'330'!$D$78:$M$78</definedName>
    <definedName name="OSRRefD20_9x" localSheetId="57">'331'!$D$117:$M$117</definedName>
    <definedName name="OSRRefD20_9x" localSheetId="60">'332'!$D$70:$M$70</definedName>
    <definedName name="OSRRefD20_9x" localSheetId="74">'405'!$D$57:$M$57</definedName>
    <definedName name="OSRRefD20_9x" localSheetId="76">'411'!$D$54:$M$54</definedName>
    <definedName name="OSRRefD20_9x" localSheetId="77">'412'!$D$56:$M$56</definedName>
    <definedName name="OSRRefD20_9x" localSheetId="78">'413'!$D$59:$M$59</definedName>
    <definedName name="OSRRefD20_9x" localSheetId="79">'414'!$D$59:$M$59</definedName>
    <definedName name="OSRRefD20_9x" localSheetId="80">'415'!$D$61:$M$61</definedName>
    <definedName name="OSRRefD20_9x" localSheetId="81">'418'!$D$58:$M$58</definedName>
    <definedName name="OSRRefD20_9x" localSheetId="89">'433'!$D$61:$M$61</definedName>
    <definedName name="OSRRefD20_9x" localSheetId="91">'444'!$D$61:$M$61</definedName>
    <definedName name="OSRRefD20_9x" localSheetId="92">'450'!$D$57:$M$57</definedName>
    <definedName name="OSRRefD20_9x" localSheetId="73">'491'!$D$65:$M$65</definedName>
    <definedName name="OSRRefD20_9x" localSheetId="87">'492'!$D$61:$M$61</definedName>
    <definedName name="OSRRefD20_9x" localSheetId="94">'501'!$D$57:$M$57</definedName>
    <definedName name="OSRRefD20_9x" localSheetId="39">'Div 2'!$D$55:$M$55</definedName>
    <definedName name="OSRRefD20_9x" localSheetId="47">'Div 3'!$D$165:$M$165</definedName>
    <definedName name="OSRRefD20_9x" localSheetId="71">'Div 4'!$D$68:$M$68</definedName>
    <definedName name="OSRRefD20_9x" localSheetId="93">'Div 5'!$D$57:$M$57</definedName>
    <definedName name="OSRRefD20_9x" localSheetId="62">'Div 6'!$D$88:$M$88</definedName>
    <definedName name="OSRRefD20_9x" localSheetId="2">Summary!$D$196:$M$196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'201'!$D$18,'201'!$D$28,'201'!$D$39,'201'!$D$41,'201'!$D$43,'201'!$D$45,'201'!$D$47,'201'!$D$49,'201'!$D$51,'201'!$D$53,'201'!$D$55,'201'!$D$58,'201'!$D$61,'201'!$D$63,'201'!$D$67,'201'!$D$69</definedName>
    <definedName name="OSRRefD20x_0" localSheetId="42">'202'!$D$18,'202'!$D$28,'202'!$D$39,'202'!$D$41,'202'!$D$43,'202'!$D$46,'202'!$D$48,'202'!$D$50,'202'!$D$54,'202'!$D$56,'202'!$D$59,'202'!$D$61,'202'!$D$63</definedName>
    <definedName name="OSRRefD20x_0" localSheetId="43">'203'!$D$18,'203'!$D$29,'203'!$D$40,'203'!$D$42,'203'!$D$44,'203'!$D$46,'203'!$D$48,'203'!$D$50,'203'!$D$52,'203'!$D$56,'203'!$D$59,'203'!$D$61,'203'!$D$65,'203'!$D$67,'203'!$D$69</definedName>
    <definedName name="OSRRefD20x_0" localSheetId="44">'204'!$D$18,'204'!$D$29,'204'!$D$40,'204'!$D$42,'204'!$D$44,'204'!$D$46,'204'!$D$50,'204'!$D$52,'204'!$D$54,'204'!$D$57,'204'!$D$59</definedName>
    <definedName name="OSRRefD20x_0" localSheetId="45">'205'!$D$18,'205'!$D$28,'205'!$D$39,'205'!$D$41,'205'!$D$43,'205'!$D$46,'205'!$D$48,'205'!$D$51</definedName>
    <definedName name="OSRRefD20x_0" localSheetId="46">'206'!$D$18,'206'!$D$28,'206'!$D$39,'206'!$D$41,'206'!$D$43,'206'!$D$45,'206'!$D$47</definedName>
    <definedName name="OSRRefD20x_0" localSheetId="48">'300'!$D$122,'300'!$D$133,'300'!$D$144,'300'!$D$146,'300'!$D$149,'300'!$D$151,'300'!$D$154,'300'!$D$157,'300'!$D$159,'300'!$D$161,'300'!$D$163,'300'!$D$166,'300'!$D$169,'300'!$D$171,'300'!$D$174,'300'!$D$176,'300'!$D$178,'300'!$D$183,'300'!$D$188,'300'!$D$193,'300'!$D$196,'300'!$D$206,'300'!$D$209,'300'!$D$211,'300'!$D$215</definedName>
    <definedName name="OSRRefD20x_0" localSheetId="49">'300 &amp; 317'!$D$146,'300 &amp; 317'!$D$157,'300 &amp; 317'!$D$168,'300 &amp; 317'!$D$170,'300 &amp; 317'!$D$173,'300 &amp; 317'!$D$175,'300 &amp; 317'!$D$178,'300 &amp; 317'!$D$181,'300 &amp; 317'!$D$183,'300 &amp; 317'!$D$185,'300 &amp; 317'!$D$187,'300 &amp; 317'!$D$190,'300 &amp; 317'!$D$193,'300 &amp; 317'!$D$195,'300 &amp; 317'!$D$198,'300 &amp; 317'!$D$200,'300 &amp; 317'!$D$202,'300 &amp; 317'!$D$207,'300 &amp; 317'!$D$212,'300 &amp; 317'!$D$217,'300 &amp; 317'!$D$220,'300 &amp; 317'!$D$230,'300 &amp; 317'!$D$233,'300 &amp; 317'!$D$235,'300 &amp; 317'!$D$239</definedName>
    <definedName name="OSRRefD20x_0" localSheetId="50">'301'!$D$19,'301'!$D$30,'301'!$D$41,'301'!$D$43,'301'!$D$46,'301'!$D$48,'301'!$D$51,'301'!$D$53,'301'!$D$55,'301'!$D$57,'301'!$D$59,'301'!$D$61,'301'!$D$63,'301'!$D$65,'301'!$D$67,'301'!$D$69,'301'!$D$74,'301'!$D$78,'301'!$D$80,'301'!$D$88,'301'!$D$90,'301'!$D$92,'301'!$D$95</definedName>
    <definedName name="OSRRefD20x_0" localSheetId="51">'306'!$D$18,'306'!$D$28,'306'!$D$39,'306'!$D$41,'306'!$D$43,'306'!$D$45,'306'!$D$47,'306'!$D$49,'306'!$D$51</definedName>
    <definedName name="OSRRefD20x_0" localSheetId="53">'307'!$D$37,'307'!$D$46,'307'!$D$57,'307'!$D$59,'307'!$D$61,'307'!$D$63,'307'!$D$66,'307'!$D$69,'307'!$D$71,'307'!$D$74,'307'!$D$77,'307'!$D$81,'307'!$D$84</definedName>
    <definedName name="OSRRefD20x_0" localSheetId="54">'308'!$D$57,'308'!$D$68,'308'!$D$79,'308'!$D$81,'308'!$D$84,'308'!$D$86,'308'!$D$88,'308'!$D$91,'308'!$D$94,'308'!$D$96,'308'!$D$100,'308'!$D$103,'308'!$D$107,'308'!$D$110</definedName>
    <definedName name="OSRRefD20x_0" localSheetId="65">'309'!$D$20,'309'!$D$29,'309'!$D$40,'309'!$D$42,'309'!$D$44,'309'!$D$46,'309'!$D$48,'309'!$D$50,'309'!$D$53,'309'!$D$56,'309'!$D$59</definedName>
    <definedName name="OSRRefD20x_0" localSheetId="64">'310'!$D$28,'310'!$D$38,'310'!$D$49,'310'!$D$51,'310'!$D$53,'310'!$D$55,'310'!$D$58,'310'!$D$60,'310'!$D$62,'310'!$D$64,'310'!$D$66,'310'!$D$68,'310'!$D$70,'310'!$D$73,'310'!$D$75,'310'!$D$79,'310'!$D$86,'310'!$D$89</definedName>
    <definedName name="OSRRefD20x_0" localSheetId="72">'310 &amp; 491'!$D$34,'310 &amp; 491'!$D$44,'310 &amp; 491'!$D$55,'310 &amp; 491'!$D$57,'310 &amp; 491'!$D$59,'310 &amp; 491'!$D$61,'310 &amp; 491'!$D$65,'310 &amp; 491'!$D$67,'310 &amp; 491'!$D$69,'310 &amp; 491'!$D$72,'310 &amp; 491'!$D$74,'310 &amp; 491'!$D$76,'310 &amp; 491'!$D$78,'310 &amp; 491'!$D$80,'310 &amp; 491'!$D$82,'310 &amp; 491'!$D$87,'310 &amp; 491'!$D$90,'310 &amp; 491'!$D$96,'310 &amp; 491'!$D$98,'310 &amp; 491'!$D$109,'310 &amp; 491'!$D$112,'310 &amp; 491'!$D$114,'310 &amp; 491'!$D$116</definedName>
    <definedName name="OSRRefD20x_0" localSheetId="55">'311'!$D$56,'311'!$D$67,'311'!$D$78,'311'!$D$80,'311'!$D$83,'311'!$D$85,'311'!$D$87,'311'!$D$90,'311'!$D$93,'311'!$D$95,'311'!$D$99,'311'!$D$102,'311'!$D$106,'311'!$D$109</definedName>
    <definedName name="OSRRefD20x_0" localSheetId="66">'313'!$D$23,'313'!$D$33,'313'!$D$44,'313'!$D$46,'313'!$D$48,'313'!$D$50,'313'!$D$52</definedName>
    <definedName name="OSRRefD20x_0" localSheetId="58">'315'!$D$79,'315'!$D$89,'315'!$D$100,'315'!$D$102,'315'!$D$104,'315'!$D$106,'315'!$D$109,'315'!$D$111,'315'!$D$114,'315'!$D$116,'315'!$D$119,'315'!$D$121,'315'!$D$123,'315'!$D$127,'315'!$D$130,'315'!$D$138,'315'!$D$140</definedName>
    <definedName name="OSRRefD20x_0" localSheetId="61">'316'!$D$30,'316'!$D$40,'316'!$D$51,'316'!$D$53,'316'!$D$55,'316'!$D$57,'316'!$D$59,'316'!$D$62,'316'!$D$66,'316'!$D$68,'316'!$D$74,'316'!$D$76</definedName>
    <definedName name="OSRRefD20x_0" localSheetId="63">'317'!$D$51,'317'!$D$62,'317'!$D$73,'317'!$D$75,'317'!$D$77,'317'!$D$79,'317'!$D$81,'317'!$D$84,'317'!$D$86,'317'!$D$88,'317'!$D$91,'317'!$D$93,'317'!$D$98,'317'!$D$100</definedName>
    <definedName name="OSRRefD20x_0" localSheetId="67">'321'!$D$22,'321'!$D$32,'321'!$D$43,'321'!$D$45,'321'!$D$47,'321'!$D$49,'321'!$D$51,'321'!$D$54,'321'!$D$56,'321'!$D$59,'321'!$D$62,'321'!$D$65</definedName>
    <definedName name="OSRRefD20x_0" localSheetId="68">'322'!$D$21,'322'!$D$30,'322'!$D$41,'322'!$D$43,'322'!$D$45,'322'!$D$47,'322'!$D$49,'322'!$D$52,'322'!$D$55,'322'!$D$59,'322'!$D$61</definedName>
    <definedName name="OSRRefD20x_0" localSheetId="56">'324'!$D$25,'324'!$D$34</definedName>
    <definedName name="OSRRefD20x_0" localSheetId="69">'325'!$D$20,'325'!$D$29,'325'!$D$40,'325'!$D$42,'325'!$D$44,'325'!$D$46,'325'!$D$49,'325'!$D$51,'325'!$D$53,'325'!$D$55,'325'!$D$57,'325'!$D$60,'325'!$D$63,'325'!$D$69,'325'!$D$72</definedName>
    <definedName name="OSRRefD20x_0" localSheetId="59">'326'!$D$46,'326'!$D$56,'326'!$D$67,'326'!$D$69,'326'!$D$71,'326'!$D$73,'326'!$D$75,'326'!$D$77,'326'!$D$79,'326'!$D$81,'326'!$D$83,'326'!$D$85,'326'!$D$87,'326'!$D$91,'326'!$D$95,'326'!$D$98,'326'!$D$105,'326'!$D$108,'326'!$D$110,'326'!$D$113</definedName>
    <definedName name="OSRRefD20x_0" localSheetId="70">'327'!$D$22,'327'!$D$24</definedName>
    <definedName name="OSRRefD20x_0" localSheetId="52">'330'!$D$40,'330'!$D$50,'330'!$D$61,'330'!$D$63,'330'!$D$65,'330'!$D$67,'330'!$D$70,'330'!$D$73,'330'!$D$75,'330'!$D$78,'330'!$D$81,'330'!$D$85,'330'!$D$88</definedName>
    <definedName name="OSRRefD20x_0" localSheetId="57">'331'!$D$80,'331'!$D$90,'331'!$D$101,'331'!$D$103,'331'!$D$105,'331'!$D$107,'331'!$D$110,'331'!$D$112,'331'!$D$115,'331'!$D$117,'331'!$D$119,'331'!$D$122,'331'!$D$124,'331'!$D$126,'331'!$D$130,'331'!$D$134,'331'!$D$138,'331'!$D$141,'331'!$D$150,'331'!$D$153,'331'!$D$155,'331'!$D$158</definedName>
    <definedName name="OSRRefD20x_0" localSheetId="60">'332'!$D$32,'332'!$D$42,'332'!$D$53,'332'!$D$55,'332'!$D$57,'332'!$D$59,'332'!$D$61,'332'!$D$64,'332'!$D$68,'332'!$D$70,'332'!$D$76,'332'!$D$78</definedName>
    <definedName name="OSRRefD20x_0" localSheetId="74">'405'!$D$22,'405'!$D$31,'405'!$D$42,'405'!$D$44,'405'!$D$46,'405'!$D$49,'405'!$D$51,'405'!$D$53,'405'!$D$55,'405'!$D$57,'405'!$D$60,'405'!$D$62,'405'!$D$67,'405'!$D$69,'405'!$D$78,'405'!$D$80</definedName>
    <definedName name="OSRRefD20x_0" localSheetId="75">'406'!$D$18,'406'!$D$20,'406'!$D$22,'406'!$D$24,'406'!$D$26</definedName>
    <definedName name="OSRRefD20x_0" localSheetId="76">'411'!$D$18,'411'!$D$28,'411'!$D$39,'411'!$D$41,'411'!$D$43,'411'!$D$46,'411'!$D$48,'411'!$D$50,'411'!$D$52,'411'!$D$54,'411'!$D$59,'411'!$D$64,'411'!$D$66,'411'!$D$73,'411'!$D$75,'411'!$D$77</definedName>
    <definedName name="OSRRefD20x_0" localSheetId="77">'412'!$D$20,'412'!$D$29,'412'!$D$40,'412'!$D$42,'412'!$D$44,'412'!$D$47,'412'!$D$49,'412'!$D$51,'412'!$D$53,'412'!$D$56,'412'!$D$58,'412'!$D$63,'412'!$D$68,'412'!$D$71</definedName>
    <definedName name="OSRRefD20x_0" localSheetId="78">'413'!$D$21,'413'!$D$31,'413'!$D$42,'413'!$D$44,'413'!$D$46,'413'!$D$48,'413'!$D$50,'413'!$D$53,'413'!$D$56,'413'!$D$59</definedName>
    <definedName name="OSRRefD20x_0" localSheetId="79">'414'!$D$23,'414'!$D$33,'414'!$D$44,'414'!$D$46,'414'!$D$48,'414'!$D$50,'414'!$D$52,'414'!$D$54,'414'!$D$56,'414'!$D$59,'414'!$D$61,'414'!$D$63,'414'!$D$65,'414'!$D$69</definedName>
    <definedName name="OSRRefD20x_0" localSheetId="80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1">'418'!$D$22,'418'!$D$31,'418'!$D$42,'418'!$D$44,'418'!$D$46,'418'!$D$49,'418'!$D$51,'418'!$D$53,'418'!$D$55,'418'!$D$58,'418'!$D$61,'418'!$D$63,'418'!$D$70,'418'!$D$73</definedName>
    <definedName name="OSRRefD20x_0" localSheetId="82">'420'!$D$20,'420'!$D$22</definedName>
    <definedName name="OSRRefD20x_0" localSheetId="83">'423'!$D$18,'423'!$D$27,'423'!$D$38,'423'!$D$40,'423'!$D$43,'423'!$D$45,'423'!$D$47</definedName>
    <definedName name="OSRRefD20x_0" localSheetId="84">'424'!$D$18,'424'!$D$20,'424'!$D$22,'424'!$D$24</definedName>
    <definedName name="OSRRefD20x_0" localSheetId="85">'425'!$D$19,'425'!$D$25,'425'!$D$27,'425'!$D$29,'425'!$D$31,'425'!$D$34</definedName>
    <definedName name="OSRRefD20x_0" localSheetId="88">'430'!$D$18,'430'!$D$28,'430'!$D$39,'430'!$D$41,'430'!$D$43,'430'!$D$47,'430'!$D$50,'430'!$D$52</definedName>
    <definedName name="OSRRefD20x_0" localSheetId="89">'433'!$D$25,'433'!$D$36,'433'!$D$47,'433'!$D$49,'433'!$D$51,'433'!$D$53,'433'!$D$55,'433'!$D$57,'433'!$D$59,'433'!$D$61,'433'!$D$63,'433'!$D$65,'433'!$D$68,'433'!$D$73,'433'!$D$81,'433'!$D$83</definedName>
    <definedName name="OSRRefD20x_0" localSheetId="90">'435'!$D$18</definedName>
    <definedName name="OSRRefD20x_0" localSheetId="91">'444'!$D$25,'444'!$D$36,'444'!$D$47,'444'!$D$49,'444'!$D$51,'444'!$D$53,'444'!$D$55,'444'!$D$57,'444'!$D$59,'444'!$D$61,'444'!$D$63,'444'!$D$65,'444'!$D$68,'444'!$D$73,'444'!$D$75,'444'!$D$84,'444'!$D$87,'444'!$D$89</definedName>
    <definedName name="OSRRefD20x_0" localSheetId="92">'450'!$D$21,'450'!$D$32,'450'!$D$43,'450'!$D$45,'450'!$D$47,'450'!$D$49,'450'!$D$51,'450'!$D$53,'450'!$D$55,'450'!$D$57,'450'!$D$59,'450'!$D$61,'450'!$D$63,'450'!$D$65,'450'!$D$69,'450'!$D$75,'450'!$D$78</definedName>
    <definedName name="OSRRefD20x_0" localSheetId="73">'491'!$D$28,'491'!$D$38,'491'!$D$49,'491'!$D$51,'491'!$D$53,'491'!$D$55,'491'!$D$59,'491'!$D$61,'491'!$D$63,'491'!$D$65,'491'!$D$67,'491'!$D$69,'491'!$D$71,'491'!$D$73,'491'!$D$75,'491'!$D$80,'491'!$D$83,'491'!$D$89,'491'!$D$91,'491'!$D$102,'491'!$D$105,'491'!$D$107,'491'!$D$109</definedName>
    <definedName name="OSRRefD20x_0" localSheetId="87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4">'501'!$D$20,'501'!$D$31,'501'!$D$42,'501'!$D$44,'501'!$D$46,'501'!$D$48,'501'!$D$51,'501'!$D$53,'501'!$D$55,'501'!$D$57,'501'!$D$61,'501'!$D$64</definedName>
    <definedName name="OSRRefD20x_0" localSheetId="39">'Div 2'!$D$18,'Div 2'!$D$30,'Div 2'!$D$41,'Div 2'!$D$43,'Div 2'!$D$45,'Div 2'!$D$47,'Div 2'!$D$49,'Div 2'!$D$51,'Div 2'!$D$53,'Div 2'!$D$55,'Div 2'!$D$58,'Div 2'!$D$60,'Div 2'!$D$62,'Div 2'!$D$67,'Div 2'!$D$72,'Div 2'!$D$75,'Div 2'!$D$78,'Div 2'!$D$83,'Div 2'!$D$86,'Div 2'!$D$88</definedName>
    <definedName name="OSRRefD20x_0" localSheetId="47">'Div 3'!$D$126,'Div 3'!$D$137,'Div 3'!$D$148,'Div 3'!$D$150,'Div 3'!$D$153,'Div 3'!$D$155,'Div 3'!$D$158,'Div 3'!$D$161,'Div 3'!$D$163,'Div 3'!$D$165,'Div 3'!$D$167,'Div 3'!$D$170,'Div 3'!$D$173,'Div 3'!$D$175,'Div 3'!$D$177,'Div 3'!$D$180,'Div 3'!$D$182,'Div 3'!$D$184,'Div 3'!$D$189,'Div 3'!$D$194,'Div 3'!$D$199,'Div 3'!$D$202,'Div 3'!$D$212,'Div 3'!$D$215,'Div 3'!$D$217,'Div 3'!$D$221</definedName>
    <definedName name="OSRRefD20x_0" localSheetId="71">'Div 4'!$D$30,'Div 4'!$D$41,'Div 4'!$D$52,'Div 4'!$D$54,'Div 4'!$D$56,'Div 4'!$D$58,'Div 4'!$D$62,'Div 4'!$D$64,'Div 4'!$D$66,'Div 4'!$D$68,'Div 4'!$D$70,'Div 4'!$D$72,'Div 4'!$D$74,'Div 4'!$D$76,'Div 4'!$D$78,'Div 4'!$D$80,'Div 4'!$D$85,'Div 4'!$D$88,'Div 4'!$D$94,'Div 4'!$D$97,'Div 4'!$D$109,'Div 4'!$D$112,'Div 4'!$D$114,'Div 4'!$D$118</definedName>
    <definedName name="OSRRefD20x_0" localSheetId="93">'Div 5'!$D$20,'Div 5'!$D$31,'Div 5'!$D$42,'Div 5'!$D$44,'Div 5'!$D$46,'Div 5'!$D$48,'Div 5'!$D$51,'Div 5'!$D$53,'Div 5'!$D$55,'Div 5'!$D$57,'Div 5'!$D$61,'Div 5'!$D$64</definedName>
    <definedName name="OSRRefD20x_0" localSheetId="62">'Div 6'!$D$51,'Div 6'!$D$62,'Div 6'!$D$73,'Div 6'!$D$75,'Div 6'!$D$77,'Div 6'!$D$79,'Div 6'!$D$81,'Div 6'!$D$84,'Div 6'!$D$86,'Div 6'!$D$88,'Div 6'!$D$91,'Div 6'!$D$93,'Div 6'!$D$98,'Div 6'!$D$100</definedName>
    <definedName name="OSRRefD20x_0" localSheetId="2">Summary!$D$156,Summary!$D$167,Summary!$D$178,Summary!$D$180,Summary!$D$183,Summary!$D$185,Summary!$D$189,Summary!$D$192,Summary!$D$194,Summary!$D$196,Summary!$D$198,Summary!$D$201,Summary!$D$204,Summary!$D$206,Summary!$D$208,Summary!$D$211,Summary!$D$213,Summary!$D$215,Summary!$D$217,Summary!$D$222,Summary!$D$227,Summary!$D$233,Summary!$D$236,Summary!$D$248,Summary!$D$251,Summary!$D$253,Summary!$D$257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'201'!$E$18,'201'!$E$28,'201'!$E$39,'201'!$E$41,'201'!$E$43,'201'!$E$45,'201'!$E$47,'201'!$E$49,'201'!$E$51,'201'!$E$53,'201'!$E$55,'201'!$E$58,'201'!$E$61,'201'!$E$63,'201'!$E$67,'201'!$E$69</definedName>
    <definedName name="OSRRefD20x_1" localSheetId="42">'202'!$E$18,'202'!$E$28,'202'!$E$39,'202'!$E$41,'202'!$E$43,'202'!$E$46,'202'!$E$48,'202'!$E$50,'202'!$E$54,'202'!$E$56,'202'!$E$59,'202'!$E$61,'202'!$E$63</definedName>
    <definedName name="OSRRefD20x_1" localSheetId="43">'203'!$E$18,'203'!$E$29,'203'!$E$40,'203'!$E$42,'203'!$E$44,'203'!$E$46,'203'!$E$48,'203'!$E$50,'203'!$E$52,'203'!$E$56,'203'!$E$59,'203'!$E$61,'203'!$E$65,'203'!$E$67,'203'!$E$69</definedName>
    <definedName name="OSRRefD20x_1" localSheetId="44">'204'!$E$18,'204'!$E$29,'204'!$E$40,'204'!$E$42,'204'!$E$44,'204'!$E$46,'204'!$E$50,'204'!$E$52,'204'!$E$54,'204'!$E$57,'204'!$E$59</definedName>
    <definedName name="OSRRefD20x_1" localSheetId="45">'205'!$E$18,'205'!$E$28,'205'!$E$39,'205'!$E$41,'205'!$E$43,'205'!$E$46,'205'!$E$48,'205'!$E$51</definedName>
    <definedName name="OSRRefD20x_1" localSheetId="46">'206'!$E$18,'206'!$E$28,'206'!$E$39,'206'!$E$41,'206'!$E$43,'206'!$E$45,'206'!$E$47</definedName>
    <definedName name="OSRRefD20x_1" localSheetId="48">'300'!$E$122,'300'!$E$133,'300'!$E$144,'300'!$E$146,'300'!$E$149,'300'!$E$151,'300'!$E$154,'300'!$E$157,'300'!$E$159,'300'!$E$161,'300'!$E$163,'300'!$E$166,'300'!$E$169,'300'!$E$171,'300'!$E$174,'300'!$E$176,'300'!$E$178,'300'!$E$183,'300'!$E$188,'300'!$E$193,'300'!$E$196,'300'!$E$206,'300'!$E$209,'300'!$E$211,'300'!$E$215</definedName>
    <definedName name="OSRRefD20x_1" localSheetId="49">'300 &amp; 317'!$E$146,'300 &amp; 317'!$E$157,'300 &amp; 317'!$E$168,'300 &amp; 317'!$E$170,'300 &amp; 317'!$E$173,'300 &amp; 317'!$E$175,'300 &amp; 317'!$E$178,'300 &amp; 317'!$E$181,'300 &amp; 317'!$E$183,'300 &amp; 317'!$E$185,'300 &amp; 317'!$E$187,'300 &amp; 317'!$E$190,'300 &amp; 317'!$E$193,'300 &amp; 317'!$E$195,'300 &amp; 317'!$E$198,'300 &amp; 317'!$E$200,'300 &amp; 317'!$E$202,'300 &amp; 317'!$E$207,'300 &amp; 317'!$E$212,'300 &amp; 317'!$E$217,'300 &amp; 317'!$E$220,'300 &amp; 317'!$E$230,'300 &amp; 317'!$E$233,'300 &amp; 317'!$E$235,'300 &amp; 317'!$E$239</definedName>
    <definedName name="OSRRefD20x_1" localSheetId="50">'301'!$E$19,'301'!$E$30,'301'!$E$41,'301'!$E$43,'301'!$E$46,'301'!$E$48,'301'!$E$51,'301'!$E$53,'301'!$E$55,'301'!$E$57,'301'!$E$59,'301'!$E$61,'301'!$E$63,'301'!$E$65,'301'!$E$67,'301'!$E$69,'301'!$E$74,'301'!$E$78,'301'!$E$80,'301'!$E$88,'301'!$E$90,'301'!$E$92,'301'!$E$95</definedName>
    <definedName name="OSRRefD20x_1" localSheetId="51">'306'!$E$18,'306'!$E$28,'306'!$E$39,'306'!$E$41,'306'!$E$43,'306'!$E$45,'306'!$E$47,'306'!$E$49,'306'!$E$51</definedName>
    <definedName name="OSRRefD20x_1" localSheetId="53">'307'!$E$37,'307'!$E$46,'307'!$E$57,'307'!$E$59,'307'!$E$61,'307'!$E$63,'307'!$E$66,'307'!$E$69,'307'!$E$71,'307'!$E$74,'307'!$E$77,'307'!$E$81,'307'!$E$84</definedName>
    <definedName name="OSRRefD20x_1" localSheetId="54">'308'!$E$57,'308'!$E$68,'308'!$E$79,'308'!$E$81,'308'!$E$84,'308'!$E$86,'308'!$E$88,'308'!$E$91,'308'!$E$94,'308'!$E$96,'308'!$E$100,'308'!$E$103,'308'!$E$107,'308'!$E$110</definedName>
    <definedName name="OSRRefD20x_1" localSheetId="65">'309'!$E$20,'309'!$E$29,'309'!$E$40,'309'!$E$42,'309'!$E$44,'309'!$E$46,'309'!$E$48,'309'!$E$50,'309'!$E$53,'309'!$E$56,'309'!$E$59</definedName>
    <definedName name="OSRRefD20x_1" localSheetId="64">'310'!$E$28,'310'!$E$38,'310'!$E$49,'310'!$E$51,'310'!$E$53,'310'!$E$55,'310'!$E$58,'310'!$E$60,'310'!$E$62,'310'!$E$64,'310'!$E$66,'310'!$E$68,'310'!$E$70,'310'!$E$73,'310'!$E$75,'310'!$E$79,'310'!$E$86,'310'!$E$89</definedName>
    <definedName name="OSRRefD20x_1" localSheetId="72">'310 &amp; 491'!$E$34,'310 &amp; 491'!$E$44,'310 &amp; 491'!$E$55,'310 &amp; 491'!$E$57,'310 &amp; 491'!$E$59,'310 &amp; 491'!$E$61,'310 &amp; 491'!$E$65,'310 &amp; 491'!$E$67,'310 &amp; 491'!$E$69,'310 &amp; 491'!$E$72,'310 &amp; 491'!$E$74,'310 &amp; 491'!$E$76,'310 &amp; 491'!$E$78,'310 &amp; 491'!$E$80,'310 &amp; 491'!$E$82,'310 &amp; 491'!$E$87,'310 &amp; 491'!$E$90,'310 &amp; 491'!$E$96,'310 &amp; 491'!$E$98,'310 &amp; 491'!$E$109,'310 &amp; 491'!$E$112,'310 &amp; 491'!$E$114,'310 &amp; 491'!$E$116</definedName>
    <definedName name="OSRRefD20x_1" localSheetId="55">'311'!$E$56,'311'!$E$67,'311'!$E$78,'311'!$E$80,'311'!$E$83,'311'!$E$85,'311'!$E$87,'311'!$E$90,'311'!$E$93,'311'!$E$95,'311'!$E$99,'311'!$E$102,'311'!$E$106,'311'!$E$109</definedName>
    <definedName name="OSRRefD20x_1" localSheetId="66">'313'!$E$23,'313'!$E$33,'313'!$E$44,'313'!$E$46,'313'!$E$48,'313'!$E$50,'313'!$E$52</definedName>
    <definedName name="OSRRefD20x_1" localSheetId="58">'315'!$E$79,'315'!$E$89,'315'!$E$100,'315'!$E$102,'315'!$E$104,'315'!$E$106,'315'!$E$109,'315'!$E$111,'315'!$E$114,'315'!$E$116,'315'!$E$119,'315'!$E$121,'315'!$E$123,'315'!$E$127,'315'!$E$130,'315'!$E$138,'315'!$E$140</definedName>
    <definedName name="OSRRefD20x_1" localSheetId="61">'316'!$E$30,'316'!$E$40,'316'!$E$51,'316'!$E$53,'316'!$E$55,'316'!$E$57,'316'!$E$59,'316'!$E$62,'316'!$E$66,'316'!$E$68,'316'!$E$74,'316'!$E$76</definedName>
    <definedName name="OSRRefD20x_1" localSheetId="63">'317'!$E$51,'317'!$E$62,'317'!$E$73,'317'!$E$75,'317'!$E$77,'317'!$E$79,'317'!$E$81,'317'!$E$84,'317'!$E$86,'317'!$E$88,'317'!$E$91,'317'!$E$93,'317'!$E$98,'317'!$E$100</definedName>
    <definedName name="OSRRefD20x_1" localSheetId="67">'321'!$E$22,'321'!$E$32,'321'!$E$43,'321'!$E$45,'321'!$E$47,'321'!$E$49,'321'!$E$51,'321'!$E$54,'321'!$E$56,'321'!$E$59,'321'!$E$62,'321'!$E$65</definedName>
    <definedName name="OSRRefD20x_1" localSheetId="68">'322'!$E$21,'322'!$E$30,'322'!$E$41,'322'!$E$43,'322'!$E$45,'322'!$E$47,'322'!$E$49,'322'!$E$52,'322'!$E$55,'322'!$E$59,'322'!$E$61</definedName>
    <definedName name="OSRRefD20x_1" localSheetId="56">'324'!$E$25,'324'!$E$34</definedName>
    <definedName name="OSRRefD20x_1" localSheetId="69">'325'!$E$20,'325'!$E$29,'325'!$E$40,'325'!$E$42,'325'!$E$44,'325'!$E$46,'325'!$E$49,'325'!$E$51,'325'!$E$53,'325'!$E$55,'325'!$E$57,'325'!$E$60,'325'!$E$63,'325'!$E$69,'325'!$E$72</definedName>
    <definedName name="OSRRefD20x_1" localSheetId="59">'326'!$E$46,'326'!$E$56,'326'!$E$67,'326'!$E$69,'326'!$E$71,'326'!$E$73,'326'!$E$75,'326'!$E$77,'326'!$E$79,'326'!$E$81,'326'!$E$83,'326'!$E$85,'326'!$E$87,'326'!$E$91,'326'!$E$95,'326'!$E$98,'326'!$E$105,'326'!$E$108,'326'!$E$110,'326'!$E$113</definedName>
    <definedName name="OSRRefD20x_1" localSheetId="70">'327'!$E$22,'327'!$E$24</definedName>
    <definedName name="OSRRefD20x_1" localSheetId="52">'330'!$E$40,'330'!$E$50,'330'!$E$61,'330'!$E$63,'330'!$E$65,'330'!$E$67,'330'!$E$70,'330'!$E$73,'330'!$E$75,'330'!$E$78,'330'!$E$81,'330'!$E$85,'330'!$E$88</definedName>
    <definedName name="OSRRefD20x_1" localSheetId="57">'331'!$E$80,'331'!$E$90,'331'!$E$101,'331'!$E$103,'331'!$E$105,'331'!$E$107,'331'!$E$110,'331'!$E$112,'331'!$E$115,'331'!$E$117,'331'!$E$119,'331'!$E$122,'331'!$E$124,'331'!$E$126,'331'!$E$130,'331'!$E$134,'331'!$E$138,'331'!$E$141,'331'!$E$150,'331'!$E$153,'331'!$E$155,'331'!$E$158</definedName>
    <definedName name="OSRRefD20x_1" localSheetId="60">'332'!$E$32,'332'!$E$42,'332'!$E$53,'332'!$E$55,'332'!$E$57,'332'!$E$59,'332'!$E$61,'332'!$E$64,'332'!$E$68,'332'!$E$70,'332'!$E$76,'332'!$E$78</definedName>
    <definedName name="OSRRefD20x_1" localSheetId="74">'405'!$E$22,'405'!$E$31,'405'!$E$42,'405'!$E$44,'405'!$E$46,'405'!$E$49,'405'!$E$51,'405'!$E$53,'405'!$E$55,'405'!$E$57,'405'!$E$60,'405'!$E$62,'405'!$E$67,'405'!$E$69,'405'!$E$78,'405'!$E$80</definedName>
    <definedName name="OSRRefD20x_1" localSheetId="75">'406'!$E$18,'406'!$E$20,'406'!$E$22,'406'!$E$24,'406'!$E$26</definedName>
    <definedName name="OSRRefD20x_1" localSheetId="76">'411'!$E$18,'411'!$E$28,'411'!$E$39,'411'!$E$41,'411'!$E$43,'411'!$E$46,'411'!$E$48,'411'!$E$50,'411'!$E$52,'411'!$E$54,'411'!$E$59,'411'!$E$64,'411'!$E$66,'411'!$E$73,'411'!$E$75,'411'!$E$77</definedName>
    <definedName name="OSRRefD20x_1" localSheetId="77">'412'!$E$20,'412'!$E$29,'412'!$E$40,'412'!$E$42,'412'!$E$44,'412'!$E$47,'412'!$E$49,'412'!$E$51,'412'!$E$53,'412'!$E$56,'412'!$E$58,'412'!$E$63,'412'!$E$68,'412'!$E$71</definedName>
    <definedName name="OSRRefD20x_1" localSheetId="78">'413'!$E$21,'413'!$E$31,'413'!$E$42,'413'!$E$44,'413'!$E$46,'413'!$E$48,'413'!$E$50,'413'!$E$53,'413'!$E$56,'413'!$E$59</definedName>
    <definedName name="OSRRefD20x_1" localSheetId="79">'414'!$E$23,'414'!$E$33,'414'!$E$44,'414'!$E$46,'414'!$E$48,'414'!$E$50,'414'!$E$52,'414'!$E$54,'414'!$E$56,'414'!$E$59,'414'!$E$61,'414'!$E$63,'414'!$E$65,'414'!$E$69</definedName>
    <definedName name="OSRRefD20x_1" localSheetId="80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1">'418'!$E$22,'418'!$E$31,'418'!$E$42,'418'!$E$44,'418'!$E$46,'418'!$E$49,'418'!$E$51,'418'!$E$53,'418'!$E$55,'418'!$E$58,'418'!$E$61,'418'!$E$63,'418'!$E$70,'418'!$E$73</definedName>
    <definedName name="OSRRefD20x_1" localSheetId="82">'420'!$E$20,'420'!$E$22</definedName>
    <definedName name="OSRRefD20x_1" localSheetId="83">'423'!$E$18,'423'!$E$27,'423'!$E$38,'423'!$E$40,'423'!$E$43,'423'!$E$45,'423'!$E$47</definedName>
    <definedName name="OSRRefD20x_1" localSheetId="84">'424'!$E$18,'424'!$E$20,'424'!$E$22,'424'!$E$24</definedName>
    <definedName name="OSRRefD20x_1" localSheetId="85">'425'!$E$19,'425'!$E$25,'425'!$E$27,'425'!$E$29,'425'!$E$31,'425'!$E$34</definedName>
    <definedName name="OSRRefD20x_1" localSheetId="88">'430'!$E$18,'430'!$E$28,'430'!$E$39,'430'!$E$41,'430'!$E$43,'430'!$E$47,'430'!$E$50,'430'!$E$52</definedName>
    <definedName name="OSRRefD20x_1" localSheetId="89">'433'!$E$25,'433'!$E$36,'433'!$E$47,'433'!$E$49,'433'!$E$51,'433'!$E$53,'433'!$E$55,'433'!$E$57,'433'!$E$59,'433'!$E$61,'433'!$E$63,'433'!$E$65,'433'!$E$68,'433'!$E$73,'433'!$E$81,'433'!$E$83</definedName>
    <definedName name="OSRRefD20x_1" localSheetId="90">'435'!$E$18</definedName>
    <definedName name="OSRRefD20x_1" localSheetId="91">'444'!$E$25,'444'!$E$36,'444'!$E$47,'444'!$E$49,'444'!$E$51,'444'!$E$53,'444'!$E$55,'444'!$E$57,'444'!$E$59,'444'!$E$61,'444'!$E$63,'444'!$E$65,'444'!$E$68,'444'!$E$73,'444'!$E$75,'444'!$E$84,'444'!$E$87,'444'!$E$89</definedName>
    <definedName name="OSRRefD20x_1" localSheetId="92">'450'!$E$21,'450'!$E$32,'450'!$E$43,'450'!$E$45,'450'!$E$47,'450'!$E$49,'450'!$E$51,'450'!$E$53,'450'!$E$55,'450'!$E$57,'450'!$E$59,'450'!$E$61,'450'!$E$63,'450'!$E$65,'450'!$E$69,'450'!$E$75,'450'!$E$78</definedName>
    <definedName name="OSRRefD20x_1" localSheetId="73">'491'!$E$28,'491'!$E$38,'491'!$E$49,'491'!$E$51,'491'!$E$53,'491'!$E$55,'491'!$E$59,'491'!$E$61,'491'!$E$63,'491'!$E$65,'491'!$E$67,'491'!$E$69,'491'!$E$71,'491'!$E$73,'491'!$E$75,'491'!$E$80,'491'!$E$83,'491'!$E$89,'491'!$E$91,'491'!$E$102,'491'!$E$105,'491'!$E$107,'491'!$E$109</definedName>
    <definedName name="OSRRefD20x_1" localSheetId="87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4">'501'!$E$20,'501'!$E$31,'501'!$E$42,'501'!$E$44,'501'!$E$46,'501'!$E$48,'501'!$E$51,'501'!$E$53,'501'!$E$55,'501'!$E$57,'501'!$E$61,'501'!$E$64</definedName>
    <definedName name="OSRRefD20x_1" localSheetId="39">'Div 2'!$E$18,'Div 2'!$E$30,'Div 2'!$E$41,'Div 2'!$E$43,'Div 2'!$E$45,'Div 2'!$E$47,'Div 2'!$E$49,'Div 2'!$E$51,'Div 2'!$E$53,'Div 2'!$E$55,'Div 2'!$E$58,'Div 2'!$E$60,'Div 2'!$E$62,'Div 2'!$E$67,'Div 2'!$E$72,'Div 2'!$E$75,'Div 2'!$E$78,'Div 2'!$E$83,'Div 2'!$E$86,'Div 2'!$E$88</definedName>
    <definedName name="OSRRefD20x_1" localSheetId="47">'Div 3'!$E$126,'Div 3'!$E$137,'Div 3'!$E$148,'Div 3'!$E$150,'Div 3'!$E$153,'Div 3'!$E$155,'Div 3'!$E$158,'Div 3'!$E$161,'Div 3'!$E$163,'Div 3'!$E$165,'Div 3'!$E$167,'Div 3'!$E$170,'Div 3'!$E$173,'Div 3'!$E$175,'Div 3'!$E$177,'Div 3'!$E$180,'Div 3'!$E$182,'Div 3'!$E$184,'Div 3'!$E$189,'Div 3'!$E$194,'Div 3'!$E$199,'Div 3'!$E$202,'Div 3'!$E$212,'Div 3'!$E$215,'Div 3'!$E$217,'Div 3'!$E$221</definedName>
    <definedName name="OSRRefD20x_1" localSheetId="71">'Div 4'!$E$30,'Div 4'!$E$41,'Div 4'!$E$52,'Div 4'!$E$54,'Div 4'!$E$56,'Div 4'!$E$58,'Div 4'!$E$62,'Div 4'!$E$64,'Div 4'!$E$66,'Div 4'!$E$68,'Div 4'!$E$70,'Div 4'!$E$72,'Div 4'!$E$74,'Div 4'!$E$76,'Div 4'!$E$78,'Div 4'!$E$80,'Div 4'!$E$85,'Div 4'!$E$88,'Div 4'!$E$94,'Div 4'!$E$97,'Div 4'!$E$109,'Div 4'!$E$112,'Div 4'!$E$114,'Div 4'!$E$118</definedName>
    <definedName name="OSRRefD20x_1" localSheetId="93">'Div 5'!$E$20,'Div 5'!$E$31,'Div 5'!$E$42,'Div 5'!$E$44,'Div 5'!$E$46,'Div 5'!$E$48,'Div 5'!$E$51,'Div 5'!$E$53,'Div 5'!$E$55,'Div 5'!$E$57,'Div 5'!$E$61,'Div 5'!$E$64</definedName>
    <definedName name="OSRRefD20x_1" localSheetId="62">'Div 6'!$E$51,'Div 6'!$E$62,'Div 6'!$E$73,'Div 6'!$E$75,'Div 6'!$E$77,'Div 6'!$E$79,'Div 6'!$E$81,'Div 6'!$E$84,'Div 6'!$E$86,'Div 6'!$E$88,'Div 6'!$E$91,'Div 6'!$E$93,'Div 6'!$E$98,'Div 6'!$E$100</definedName>
    <definedName name="OSRRefD20x_1" localSheetId="2">Summary!$E$156,Summary!$E$167,Summary!$E$178,Summary!$E$180,Summary!$E$183,Summary!$E$185,Summary!$E$189,Summary!$E$192,Summary!$E$194,Summary!$E$196,Summary!$E$198,Summary!$E$201,Summary!$E$204,Summary!$E$206,Summary!$E$208,Summary!$E$211,Summary!$E$213,Summary!$E$215,Summary!$E$217,Summary!$E$222,Summary!$E$227,Summary!$E$233,Summary!$E$236,Summary!$E$248,Summary!$E$251,Summary!$E$253,Summary!$E$257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'201'!$F$18,'201'!$F$28,'201'!$F$39,'201'!$F$41,'201'!$F$43,'201'!$F$45,'201'!$F$47,'201'!$F$49,'201'!$F$51,'201'!$F$53,'201'!$F$55,'201'!$F$58,'201'!$F$61,'201'!$F$63,'201'!$F$67,'201'!$F$69</definedName>
    <definedName name="OSRRefD20x_2" localSheetId="42">'202'!$F$18,'202'!$F$28,'202'!$F$39,'202'!$F$41,'202'!$F$43,'202'!$F$46,'202'!$F$48,'202'!$F$50,'202'!$F$54,'202'!$F$56,'202'!$F$59,'202'!$F$61,'202'!$F$63</definedName>
    <definedName name="OSRRefD20x_2" localSheetId="43">'203'!$F$18,'203'!$F$29,'203'!$F$40,'203'!$F$42,'203'!$F$44,'203'!$F$46,'203'!$F$48,'203'!$F$50,'203'!$F$52,'203'!$F$56,'203'!$F$59,'203'!$F$61,'203'!$F$65,'203'!$F$67,'203'!$F$69</definedName>
    <definedName name="OSRRefD20x_2" localSheetId="44">'204'!$F$18,'204'!$F$29,'204'!$F$40,'204'!$F$42,'204'!$F$44,'204'!$F$46,'204'!$F$50,'204'!$F$52,'204'!$F$54,'204'!$F$57,'204'!$F$59</definedName>
    <definedName name="OSRRefD20x_2" localSheetId="45">'205'!$F$18,'205'!$F$28,'205'!$F$39,'205'!$F$41,'205'!$F$43,'205'!$F$46,'205'!$F$48,'205'!$F$51</definedName>
    <definedName name="OSRRefD20x_2" localSheetId="46">'206'!$F$18,'206'!$F$28,'206'!$F$39,'206'!$F$41,'206'!$F$43,'206'!$F$45,'206'!$F$47</definedName>
    <definedName name="OSRRefD20x_2" localSheetId="48">'300'!$F$122,'300'!$F$133,'300'!$F$144,'300'!$F$146,'300'!$F$149,'300'!$F$151,'300'!$F$154,'300'!$F$157,'300'!$F$159,'300'!$F$161,'300'!$F$163,'300'!$F$166,'300'!$F$169,'300'!$F$171,'300'!$F$174,'300'!$F$176,'300'!$F$178,'300'!$F$183,'300'!$F$188,'300'!$F$193,'300'!$F$196,'300'!$F$206,'300'!$F$209,'300'!$F$211,'300'!$F$215</definedName>
    <definedName name="OSRRefD20x_2" localSheetId="49">'300 &amp; 317'!$F$146,'300 &amp; 317'!$F$157,'300 &amp; 317'!$F$168,'300 &amp; 317'!$F$170,'300 &amp; 317'!$F$173,'300 &amp; 317'!$F$175,'300 &amp; 317'!$F$178,'300 &amp; 317'!$F$181,'300 &amp; 317'!$F$183,'300 &amp; 317'!$F$185,'300 &amp; 317'!$F$187,'300 &amp; 317'!$F$190,'300 &amp; 317'!$F$193,'300 &amp; 317'!$F$195,'300 &amp; 317'!$F$198,'300 &amp; 317'!$F$200,'300 &amp; 317'!$F$202,'300 &amp; 317'!$F$207,'300 &amp; 317'!$F$212,'300 &amp; 317'!$F$217,'300 &amp; 317'!$F$220,'300 &amp; 317'!$F$230,'300 &amp; 317'!$F$233,'300 &amp; 317'!$F$235,'300 &amp; 317'!$F$239</definedName>
    <definedName name="OSRRefD20x_2" localSheetId="50">'301'!$F$19,'301'!$F$30,'301'!$F$41,'301'!$F$43,'301'!$F$46,'301'!$F$48,'301'!$F$51,'301'!$F$53,'301'!$F$55,'301'!$F$57,'301'!$F$59,'301'!$F$61,'301'!$F$63,'301'!$F$65,'301'!$F$67,'301'!$F$69,'301'!$F$74,'301'!$F$78,'301'!$F$80,'301'!$F$88,'301'!$F$90,'301'!$F$92,'301'!$F$95</definedName>
    <definedName name="OSRRefD20x_2" localSheetId="51">'306'!$F$18,'306'!$F$28,'306'!$F$39,'306'!$F$41,'306'!$F$43,'306'!$F$45,'306'!$F$47,'306'!$F$49,'306'!$F$51</definedName>
    <definedName name="OSRRefD20x_2" localSheetId="53">'307'!$F$37,'307'!$F$46,'307'!$F$57,'307'!$F$59,'307'!$F$61,'307'!$F$63,'307'!$F$66,'307'!$F$69,'307'!$F$71,'307'!$F$74,'307'!$F$77,'307'!$F$81,'307'!$F$84</definedName>
    <definedName name="OSRRefD20x_2" localSheetId="54">'308'!$F$57,'308'!$F$68,'308'!$F$79,'308'!$F$81,'308'!$F$84,'308'!$F$86,'308'!$F$88,'308'!$F$91,'308'!$F$94,'308'!$F$96,'308'!$F$100,'308'!$F$103,'308'!$F$107,'308'!$F$110</definedName>
    <definedName name="OSRRefD20x_2" localSheetId="65">'309'!$F$20,'309'!$F$29,'309'!$F$40,'309'!$F$42,'309'!$F$44,'309'!$F$46,'309'!$F$48,'309'!$F$50,'309'!$F$53,'309'!$F$56,'309'!$F$59</definedName>
    <definedName name="OSRRefD20x_2" localSheetId="64">'310'!$F$28,'310'!$F$38,'310'!$F$49,'310'!$F$51,'310'!$F$53,'310'!$F$55,'310'!$F$58,'310'!$F$60,'310'!$F$62,'310'!$F$64,'310'!$F$66,'310'!$F$68,'310'!$F$70,'310'!$F$73,'310'!$F$75,'310'!$F$79,'310'!$F$86,'310'!$F$89</definedName>
    <definedName name="OSRRefD20x_2" localSheetId="72">'310 &amp; 491'!$F$34,'310 &amp; 491'!$F$44,'310 &amp; 491'!$F$55,'310 &amp; 491'!$F$57,'310 &amp; 491'!$F$59,'310 &amp; 491'!$F$61,'310 &amp; 491'!$F$65,'310 &amp; 491'!$F$67,'310 &amp; 491'!$F$69,'310 &amp; 491'!$F$72,'310 &amp; 491'!$F$74,'310 &amp; 491'!$F$76,'310 &amp; 491'!$F$78,'310 &amp; 491'!$F$80,'310 &amp; 491'!$F$82,'310 &amp; 491'!$F$87,'310 &amp; 491'!$F$90,'310 &amp; 491'!$F$96,'310 &amp; 491'!$F$98,'310 &amp; 491'!$F$109,'310 &amp; 491'!$F$112,'310 &amp; 491'!$F$114,'310 &amp; 491'!$F$116</definedName>
    <definedName name="OSRRefD20x_2" localSheetId="55">'311'!$F$56,'311'!$F$67,'311'!$F$78,'311'!$F$80,'311'!$F$83,'311'!$F$85,'311'!$F$87,'311'!$F$90,'311'!$F$93,'311'!$F$95,'311'!$F$99,'311'!$F$102,'311'!$F$106,'311'!$F$109</definedName>
    <definedName name="OSRRefD20x_2" localSheetId="66">'313'!$F$23,'313'!$F$33,'313'!$F$44,'313'!$F$46,'313'!$F$48,'313'!$F$50,'313'!$F$52</definedName>
    <definedName name="OSRRefD20x_2" localSheetId="58">'315'!$F$79,'315'!$F$89,'315'!$F$100,'315'!$F$102,'315'!$F$104,'315'!$F$106,'315'!$F$109,'315'!$F$111,'315'!$F$114,'315'!$F$116,'315'!$F$119,'315'!$F$121,'315'!$F$123,'315'!$F$127,'315'!$F$130,'315'!$F$138,'315'!$F$140</definedName>
    <definedName name="OSRRefD20x_2" localSheetId="61">'316'!$F$30,'316'!$F$40,'316'!$F$51,'316'!$F$53,'316'!$F$55,'316'!$F$57,'316'!$F$59,'316'!$F$62,'316'!$F$66,'316'!$F$68,'316'!$F$74,'316'!$F$76</definedName>
    <definedName name="OSRRefD20x_2" localSheetId="63">'317'!$F$51,'317'!$F$62,'317'!$F$73,'317'!$F$75,'317'!$F$77,'317'!$F$79,'317'!$F$81,'317'!$F$84,'317'!$F$86,'317'!$F$88,'317'!$F$91,'317'!$F$93,'317'!$F$98,'317'!$F$100</definedName>
    <definedName name="OSRRefD20x_2" localSheetId="67">'321'!$F$22,'321'!$F$32,'321'!$F$43,'321'!$F$45,'321'!$F$47,'321'!$F$49,'321'!$F$51,'321'!$F$54,'321'!$F$56,'321'!$F$59,'321'!$F$62,'321'!$F$65</definedName>
    <definedName name="OSRRefD20x_2" localSheetId="68">'322'!$F$21,'322'!$F$30,'322'!$F$41,'322'!$F$43,'322'!$F$45,'322'!$F$47,'322'!$F$49,'322'!$F$52,'322'!$F$55,'322'!$F$59,'322'!$F$61</definedName>
    <definedName name="OSRRefD20x_2" localSheetId="56">'324'!$F$25,'324'!$F$34</definedName>
    <definedName name="OSRRefD20x_2" localSheetId="69">'325'!$F$20,'325'!$F$29,'325'!$F$40,'325'!$F$42,'325'!$F$44,'325'!$F$46,'325'!$F$49,'325'!$F$51,'325'!$F$53,'325'!$F$55,'325'!$F$57,'325'!$F$60,'325'!$F$63,'325'!$F$69,'325'!$F$72</definedName>
    <definedName name="OSRRefD20x_2" localSheetId="59">'326'!$F$46,'326'!$F$56,'326'!$F$67,'326'!$F$69,'326'!$F$71,'326'!$F$73,'326'!$F$75,'326'!$F$77,'326'!$F$79,'326'!$F$81,'326'!$F$83,'326'!$F$85,'326'!$F$87,'326'!$F$91,'326'!$F$95,'326'!$F$98,'326'!$F$105,'326'!$F$108,'326'!$F$110,'326'!$F$113</definedName>
    <definedName name="OSRRefD20x_2" localSheetId="70">'327'!$F$22,'327'!$F$24</definedName>
    <definedName name="OSRRefD20x_2" localSheetId="52">'330'!$F$40,'330'!$F$50,'330'!$F$61,'330'!$F$63,'330'!$F$65,'330'!$F$67,'330'!$F$70,'330'!$F$73,'330'!$F$75,'330'!$F$78,'330'!$F$81,'330'!$F$85,'330'!$F$88</definedName>
    <definedName name="OSRRefD20x_2" localSheetId="57">'331'!$F$80,'331'!$F$90,'331'!$F$101,'331'!$F$103,'331'!$F$105,'331'!$F$107,'331'!$F$110,'331'!$F$112,'331'!$F$115,'331'!$F$117,'331'!$F$119,'331'!$F$122,'331'!$F$124,'331'!$F$126,'331'!$F$130,'331'!$F$134,'331'!$F$138,'331'!$F$141,'331'!$F$150,'331'!$F$153,'331'!$F$155,'331'!$F$158</definedName>
    <definedName name="OSRRefD20x_2" localSheetId="60">'332'!$F$32,'332'!$F$42,'332'!$F$53,'332'!$F$55,'332'!$F$57,'332'!$F$59,'332'!$F$61,'332'!$F$64,'332'!$F$68,'332'!$F$70,'332'!$F$76,'332'!$F$78</definedName>
    <definedName name="OSRRefD20x_2" localSheetId="74">'405'!$F$22,'405'!$F$31,'405'!$F$42,'405'!$F$44,'405'!$F$46,'405'!$F$49,'405'!$F$51,'405'!$F$53,'405'!$F$55,'405'!$F$57,'405'!$F$60,'405'!$F$62,'405'!$F$67,'405'!$F$69,'405'!$F$78,'405'!$F$80</definedName>
    <definedName name="OSRRefD20x_2" localSheetId="75">'406'!$F$18,'406'!$F$20,'406'!$F$22,'406'!$F$24,'406'!$F$26</definedName>
    <definedName name="OSRRefD20x_2" localSheetId="76">'411'!$F$18,'411'!$F$28,'411'!$F$39,'411'!$F$41,'411'!$F$43,'411'!$F$46,'411'!$F$48,'411'!$F$50,'411'!$F$52,'411'!$F$54,'411'!$F$59,'411'!$F$64,'411'!$F$66,'411'!$F$73,'411'!$F$75,'411'!$F$77</definedName>
    <definedName name="OSRRefD20x_2" localSheetId="77">'412'!$F$20,'412'!$F$29,'412'!$F$40,'412'!$F$42,'412'!$F$44,'412'!$F$47,'412'!$F$49,'412'!$F$51,'412'!$F$53,'412'!$F$56,'412'!$F$58,'412'!$F$63,'412'!$F$68,'412'!$F$71</definedName>
    <definedName name="OSRRefD20x_2" localSheetId="78">'413'!$F$21,'413'!$F$31,'413'!$F$42,'413'!$F$44,'413'!$F$46,'413'!$F$48,'413'!$F$50,'413'!$F$53,'413'!$F$56,'413'!$F$59</definedName>
    <definedName name="OSRRefD20x_2" localSheetId="79">'414'!$F$23,'414'!$F$33,'414'!$F$44,'414'!$F$46,'414'!$F$48,'414'!$F$50,'414'!$F$52,'414'!$F$54,'414'!$F$56,'414'!$F$59,'414'!$F$61,'414'!$F$63,'414'!$F$65,'414'!$F$69</definedName>
    <definedName name="OSRRefD20x_2" localSheetId="80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1">'418'!$F$22,'418'!$F$31,'418'!$F$42,'418'!$F$44,'418'!$F$46,'418'!$F$49,'418'!$F$51,'418'!$F$53,'418'!$F$55,'418'!$F$58,'418'!$F$61,'418'!$F$63,'418'!$F$70,'418'!$F$73</definedName>
    <definedName name="OSRRefD20x_2" localSheetId="82">'420'!$F$20,'420'!$F$22</definedName>
    <definedName name="OSRRefD20x_2" localSheetId="83">'423'!$F$18,'423'!$F$27,'423'!$F$38,'423'!$F$40,'423'!$F$43,'423'!$F$45,'423'!$F$47</definedName>
    <definedName name="OSRRefD20x_2" localSheetId="84">'424'!$F$18,'424'!$F$20,'424'!$F$22,'424'!$F$24</definedName>
    <definedName name="OSRRefD20x_2" localSheetId="85">'425'!$F$19,'425'!$F$25,'425'!$F$27,'425'!$F$29,'425'!$F$31,'425'!$F$34</definedName>
    <definedName name="OSRRefD20x_2" localSheetId="88">'430'!$F$18,'430'!$F$28,'430'!$F$39,'430'!$F$41,'430'!$F$43,'430'!$F$47,'430'!$F$50,'430'!$F$52</definedName>
    <definedName name="OSRRefD20x_2" localSheetId="89">'433'!$F$25,'433'!$F$36,'433'!$F$47,'433'!$F$49,'433'!$F$51,'433'!$F$53,'433'!$F$55,'433'!$F$57,'433'!$F$59,'433'!$F$61,'433'!$F$63,'433'!$F$65,'433'!$F$68,'433'!$F$73,'433'!$F$81,'433'!$F$83</definedName>
    <definedName name="OSRRefD20x_2" localSheetId="90">'435'!$F$18</definedName>
    <definedName name="OSRRefD20x_2" localSheetId="91">'444'!$F$25,'444'!$F$36,'444'!$F$47,'444'!$F$49,'444'!$F$51,'444'!$F$53,'444'!$F$55,'444'!$F$57,'444'!$F$59,'444'!$F$61,'444'!$F$63,'444'!$F$65,'444'!$F$68,'444'!$F$73,'444'!$F$75,'444'!$F$84,'444'!$F$87,'444'!$F$89</definedName>
    <definedName name="OSRRefD20x_2" localSheetId="92">'450'!$F$21,'450'!$F$32,'450'!$F$43,'450'!$F$45,'450'!$F$47,'450'!$F$49,'450'!$F$51,'450'!$F$53,'450'!$F$55,'450'!$F$57,'450'!$F$59,'450'!$F$61,'450'!$F$63,'450'!$F$65,'450'!$F$69,'450'!$F$75,'450'!$F$78</definedName>
    <definedName name="OSRRefD20x_2" localSheetId="73">'491'!$F$28,'491'!$F$38,'491'!$F$49,'491'!$F$51,'491'!$F$53,'491'!$F$55,'491'!$F$59,'491'!$F$61,'491'!$F$63,'491'!$F$65,'491'!$F$67,'491'!$F$69,'491'!$F$71,'491'!$F$73,'491'!$F$75,'491'!$F$80,'491'!$F$83,'491'!$F$89,'491'!$F$91,'491'!$F$102,'491'!$F$105,'491'!$F$107,'491'!$F$109</definedName>
    <definedName name="OSRRefD20x_2" localSheetId="87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4">'501'!$F$20,'501'!$F$31,'501'!$F$42,'501'!$F$44,'501'!$F$46,'501'!$F$48,'501'!$F$51,'501'!$F$53,'501'!$F$55,'501'!$F$57,'501'!$F$61,'501'!$F$64</definedName>
    <definedName name="OSRRefD20x_2" localSheetId="39">'Div 2'!$F$18,'Div 2'!$F$30,'Div 2'!$F$41,'Div 2'!$F$43,'Div 2'!$F$45,'Div 2'!$F$47,'Div 2'!$F$49,'Div 2'!$F$51,'Div 2'!$F$53,'Div 2'!$F$55,'Div 2'!$F$58,'Div 2'!$F$60,'Div 2'!$F$62,'Div 2'!$F$67,'Div 2'!$F$72,'Div 2'!$F$75,'Div 2'!$F$78,'Div 2'!$F$83,'Div 2'!$F$86,'Div 2'!$F$88</definedName>
    <definedName name="OSRRefD20x_2" localSheetId="47">'Div 3'!$F$126,'Div 3'!$F$137,'Div 3'!$F$148,'Div 3'!$F$150,'Div 3'!$F$153,'Div 3'!$F$155,'Div 3'!$F$158,'Div 3'!$F$161,'Div 3'!$F$163,'Div 3'!$F$165,'Div 3'!$F$167,'Div 3'!$F$170,'Div 3'!$F$173,'Div 3'!$F$175,'Div 3'!$F$177,'Div 3'!$F$180,'Div 3'!$F$182,'Div 3'!$F$184,'Div 3'!$F$189,'Div 3'!$F$194,'Div 3'!$F$199,'Div 3'!$F$202,'Div 3'!$F$212,'Div 3'!$F$215,'Div 3'!$F$217,'Div 3'!$F$221</definedName>
    <definedName name="OSRRefD20x_2" localSheetId="71">'Div 4'!$F$30,'Div 4'!$F$41,'Div 4'!$F$52,'Div 4'!$F$54,'Div 4'!$F$56,'Div 4'!$F$58,'Div 4'!$F$62,'Div 4'!$F$64,'Div 4'!$F$66,'Div 4'!$F$68,'Div 4'!$F$70,'Div 4'!$F$72,'Div 4'!$F$74,'Div 4'!$F$76,'Div 4'!$F$78,'Div 4'!$F$80,'Div 4'!$F$85,'Div 4'!$F$88,'Div 4'!$F$94,'Div 4'!$F$97,'Div 4'!$F$109,'Div 4'!$F$112,'Div 4'!$F$114,'Div 4'!$F$118</definedName>
    <definedName name="OSRRefD20x_2" localSheetId="93">'Div 5'!$F$20,'Div 5'!$F$31,'Div 5'!$F$42,'Div 5'!$F$44,'Div 5'!$F$46,'Div 5'!$F$48,'Div 5'!$F$51,'Div 5'!$F$53,'Div 5'!$F$55,'Div 5'!$F$57,'Div 5'!$F$61,'Div 5'!$F$64</definedName>
    <definedName name="OSRRefD20x_2" localSheetId="62">'Div 6'!$F$51,'Div 6'!$F$62,'Div 6'!$F$73,'Div 6'!$F$75,'Div 6'!$F$77,'Div 6'!$F$79,'Div 6'!$F$81,'Div 6'!$F$84,'Div 6'!$F$86,'Div 6'!$F$88,'Div 6'!$F$91,'Div 6'!$F$93,'Div 6'!$F$98,'Div 6'!$F$100</definedName>
    <definedName name="OSRRefD20x_2" localSheetId="2">Summary!$F$156,Summary!$F$167,Summary!$F$178,Summary!$F$180,Summary!$F$183,Summary!$F$185,Summary!$F$189,Summary!$F$192,Summary!$F$194,Summary!$F$196,Summary!$F$198,Summary!$F$201,Summary!$F$204,Summary!$F$206,Summary!$F$208,Summary!$F$211,Summary!$F$213,Summary!$F$215,Summary!$F$217,Summary!$F$222,Summary!$F$227,Summary!$F$233,Summary!$F$236,Summary!$F$248,Summary!$F$251,Summary!$F$253,Summary!$F$257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'201'!$G$18,'201'!$G$28,'201'!$G$39,'201'!$G$41,'201'!$G$43,'201'!$G$45,'201'!$G$47,'201'!$G$49,'201'!$G$51,'201'!$G$53,'201'!$G$55,'201'!$G$58,'201'!$G$61,'201'!$G$63,'201'!$G$67,'201'!$G$69</definedName>
    <definedName name="OSRRefD20x_3" localSheetId="42">'202'!$G$18,'202'!$G$28,'202'!$G$39,'202'!$G$41,'202'!$G$43,'202'!$G$46,'202'!$G$48,'202'!$G$50,'202'!$G$54,'202'!$G$56,'202'!$G$59,'202'!$G$61,'202'!$G$63</definedName>
    <definedName name="OSRRefD20x_3" localSheetId="43">'203'!$G$18,'203'!$G$29,'203'!$G$40,'203'!$G$42,'203'!$G$44,'203'!$G$46,'203'!$G$48,'203'!$G$50,'203'!$G$52,'203'!$G$56,'203'!$G$59,'203'!$G$61,'203'!$G$65,'203'!$G$67,'203'!$G$69</definedName>
    <definedName name="OSRRefD20x_3" localSheetId="44">'204'!$G$18,'204'!$G$29,'204'!$G$40,'204'!$G$42,'204'!$G$44,'204'!$G$46,'204'!$G$50,'204'!$G$52,'204'!$G$54,'204'!$G$57,'204'!$G$59</definedName>
    <definedName name="OSRRefD20x_3" localSheetId="45">'205'!$G$18,'205'!$G$28,'205'!$G$39,'205'!$G$41,'205'!$G$43,'205'!$G$46,'205'!$G$48,'205'!$G$51</definedName>
    <definedName name="OSRRefD20x_3" localSheetId="46">'206'!$G$18,'206'!$G$28,'206'!$G$39,'206'!$G$41,'206'!$G$43,'206'!$G$45,'206'!$G$47</definedName>
    <definedName name="OSRRefD20x_3" localSheetId="48">'300'!$G$122,'300'!$G$133,'300'!$G$144,'300'!$G$146,'300'!$G$149,'300'!$G$151,'300'!$G$154,'300'!$G$157,'300'!$G$159,'300'!$G$161,'300'!$G$163,'300'!$G$166,'300'!$G$169,'300'!$G$171,'300'!$G$174,'300'!$G$176,'300'!$G$178,'300'!$G$183,'300'!$G$188,'300'!$G$193,'300'!$G$196,'300'!$G$206,'300'!$G$209,'300'!$G$211,'300'!$G$215</definedName>
    <definedName name="OSRRefD20x_3" localSheetId="49">'300 &amp; 317'!$G$146,'300 &amp; 317'!$G$157,'300 &amp; 317'!$G$168,'300 &amp; 317'!$G$170,'300 &amp; 317'!$G$173,'300 &amp; 317'!$G$175,'300 &amp; 317'!$G$178,'300 &amp; 317'!$G$181,'300 &amp; 317'!$G$183,'300 &amp; 317'!$G$185,'300 &amp; 317'!$G$187,'300 &amp; 317'!$G$190,'300 &amp; 317'!$G$193,'300 &amp; 317'!$G$195,'300 &amp; 317'!$G$198,'300 &amp; 317'!$G$200,'300 &amp; 317'!$G$202,'300 &amp; 317'!$G$207,'300 &amp; 317'!$G$212,'300 &amp; 317'!$G$217,'300 &amp; 317'!$G$220,'300 &amp; 317'!$G$230,'300 &amp; 317'!$G$233,'300 &amp; 317'!$G$235,'300 &amp; 317'!$G$239</definedName>
    <definedName name="OSRRefD20x_3" localSheetId="50">'301'!$G$19,'301'!$G$30,'301'!$G$41,'301'!$G$43,'301'!$G$46,'301'!$G$48,'301'!$G$51,'301'!$G$53,'301'!$G$55,'301'!$G$57,'301'!$G$59,'301'!$G$61,'301'!$G$63,'301'!$G$65,'301'!$G$67,'301'!$G$69,'301'!$G$74,'301'!$G$78,'301'!$G$80,'301'!$G$88,'301'!$G$90,'301'!$G$92,'301'!$G$95</definedName>
    <definedName name="OSRRefD20x_3" localSheetId="51">'306'!$G$18,'306'!$G$28,'306'!$G$39,'306'!$G$41,'306'!$G$43,'306'!$G$45,'306'!$G$47,'306'!$G$49,'306'!$G$51</definedName>
    <definedName name="OSRRefD20x_3" localSheetId="53">'307'!$G$37,'307'!$G$46,'307'!$G$57,'307'!$G$59,'307'!$G$61,'307'!$G$63,'307'!$G$66,'307'!$G$69,'307'!$G$71,'307'!$G$74,'307'!$G$77,'307'!$G$81,'307'!$G$84</definedName>
    <definedName name="OSRRefD20x_3" localSheetId="54">'308'!$G$57,'308'!$G$68,'308'!$G$79,'308'!$G$81,'308'!$G$84,'308'!$G$86,'308'!$G$88,'308'!$G$91,'308'!$G$94,'308'!$G$96,'308'!$G$100,'308'!$G$103,'308'!$G$107,'308'!$G$110</definedName>
    <definedName name="OSRRefD20x_3" localSheetId="65">'309'!$G$20,'309'!$G$29,'309'!$G$40,'309'!$G$42,'309'!$G$44,'309'!$G$46,'309'!$G$48,'309'!$G$50,'309'!$G$53,'309'!$G$56,'309'!$G$59</definedName>
    <definedName name="OSRRefD20x_3" localSheetId="64">'310'!$G$28,'310'!$G$38,'310'!$G$49,'310'!$G$51,'310'!$G$53,'310'!$G$55,'310'!$G$58,'310'!$G$60,'310'!$G$62,'310'!$G$64,'310'!$G$66,'310'!$G$68,'310'!$G$70,'310'!$G$73,'310'!$G$75,'310'!$G$79,'310'!$G$86,'310'!$G$89</definedName>
    <definedName name="OSRRefD20x_3" localSheetId="72">'310 &amp; 491'!$G$34,'310 &amp; 491'!$G$44,'310 &amp; 491'!$G$55,'310 &amp; 491'!$G$57,'310 &amp; 491'!$G$59,'310 &amp; 491'!$G$61,'310 &amp; 491'!$G$65,'310 &amp; 491'!$G$67,'310 &amp; 491'!$G$69,'310 &amp; 491'!$G$72,'310 &amp; 491'!$G$74,'310 &amp; 491'!$G$76,'310 &amp; 491'!$G$78,'310 &amp; 491'!$G$80,'310 &amp; 491'!$G$82,'310 &amp; 491'!$G$87,'310 &amp; 491'!$G$90,'310 &amp; 491'!$G$96,'310 &amp; 491'!$G$98,'310 &amp; 491'!$G$109,'310 &amp; 491'!$G$112,'310 &amp; 491'!$G$114,'310 &amp; 491'!$G$116</definedName>
    <definedName name="OSRRefD20x_3" localSheetId="55">'311'!$G$56,'311'!$G$67,'311'!$G$78,'311'!$G$80,'311'!$G$83,'311'!$G$85,'311'!$G$87,'311'!$G$90,'311'!$G$93,'311'!$G$95,'311'!$G$99,'311'!$G$102,'311'!$G$106,'311'!$G$109</definedName>
    <definedName name="OSRRefD20x_3" localSheetId="66">'313'!$G$23,'313'!$G$33,'313'!$G$44,'313'!$G$46,'313'!$G$48,'313'!$G$50,'313'!$G$52</definedName>
    <definedName name="OSRRefD20x_3" localSheetId="58">'315'!$G$79,'315'!$G$89,'315'!$G$100,'315'!$G$102,'315'!$G$104,'315'!$G$106,'315'!$G$109,'315'!$G$111,'315'!$G$114,'315'!$G$116,'315'!$G$119,'315'!$G$121,'315'!$G$123,'315'!$G$127,'315'!$G$130,'315'!$G$138,'315'!$G$140</definedName>
    <definedName name="OSRRefD20x_3" localSheetId="61">'316'!$G$30,'316'!$G$40,'316'!$G$51,'316'!$G$53,'316'!$G$55,'316'!$G$57,'316'!$G$59,'316'!$G$62,'316'!$G$66,'316'!$G$68,'316'!$G$74,'316'!$G$76</definedName>
    <definedName name="OSRRefD20x_3" localSheetId="63">'317'!$G$51,'317'!$G$62,'317'!$G$73,'317'!$G$75,'317'!$G$77,'317'!$G$79,'317'!$G$81,'317'!$G$84,'317'!$G$86,'317'!$G$88,'317'!$G$91,'317'!$G$93,'317'!$G$98,'317'!$G$100</definedName>
    <definedName name="OSRRefD20x_3" localSheetId="67">'321'!$G$22,'321'!$G$32,'321'!$G$43,'321'!$G$45,'321'!$G$47,'321'!$G$49,'321'!$G$51,'321'!$G$54,'321'!$G$56,'321'!$G$59,'321'!$G$62,'321'!$G$65</definedName>
    <definedName name="OSRRefD20x_3" localSheetId="68">'322'!$G$21,'322'!$G$30,'322'!$G$41,'322'!$G$43,'322'!$G$45,'322'!$G$47,'322'!$G$49,'322'!$G$52,'322'!$G$55,'322'!$G$59,'322'!$G$61</definedName>
    <definedName name="OSRRefD20x_3" localSheetId="56">'324'!$G$25,'324'!$G$34</definedName>
    <definedName name="OSRRefD20x_3" localSheetId="69">'325'!$G$20,'325'!$G$29,'325'!$G$40,'325'!$G$42,'325'!$G$44,'325'!$G$46,'325'!$G$49,'325'!$G$51,'325'!$G$53,'325'!$G$55,'325'!$G$57,'325'!$G$60,'325'!$G$63,'325'!$G$69,'325'!$G$72</definedName>
    <definedName name="OSRRefD20x_3" localSheetId="59">'326'!$G$46,'326'!$G$56,'326'!$G$67,'326'!$G$69,'326'!$G$71,'326'!$G$73,'326'!$G$75,'326'!$G$77,'326'!$G$79,'326'!$G$81,'326'!$G$83,'326'!$G$85,'326'!$G$87,'326'!$G$91,'326'!$G$95,'326'!$G$98,'326'!$G$105,'326'!$G$108,'326'!$G$110,'326'!$G$113</definedName>
    <definedName name="OSRRefD20x_3" localSheetId="70">'327'!$G$22,'327'!$G$24</definedName>
    <definedName name="OSRRefD20x_3" localSheetId="52">'330'!$G$40,'330'!$G$50,'330'!$G$61,'330'!$G$63,'330'!$G$65,'330'!$G$67,'330'!$G$70,'330'!$G$73,'330'!$G$75,'330'!$G$78,'330'!$G$81,'330'!$G$85,'330'!$G$88</definedName>
    <definedName name="OSRRefD20x_3" localSheetId="57">'331'!$G$80,'331'!$G$90,'331'!$G$101,'331'!$G$103,'331'!$G$105,'331'!$G$107,'331'!$G$110,'331'!$G$112,'331'!$G$115,'331'!$G$117,'331'!$G$119,'331'!$G$122,'331'!$G$124,'331'!$G$126,'331'!$G$130,'331'!$G$134,'331'!$G$138,'331'!$G$141,'331'!$G$150,'331'!$G$153,'331'!$G$155,'331'!$G$158</definedName>
    <definedName name="OSRRefD20x_3" localSheetId="60">'332'!$G$32,'332'!$G$42,'332'!$G$53,'332'!$G$55,'332'!$G$57,'332'!$G$59,'332'!$G$61,'332'!$G$64,'332'!$G$68,'332'!$G$70,'332'!$G$76,'332'!$G$78</definedName>
    <definedName name="OSRRefD20x_3" localSheetId="74">'405'!$G$22,'405'!$G$31,'405'!$G$42,'405'!$G$44,'405'!$G$46,'405'!$G$49,'405'!$G$51,'405'!$G$53,'405'!$G$55,'405'!$G$57,'405'!$G$60,'405'!$G$62,'405'!$G$67,'405'!$G$69,'405'!$G$78,'405'!$G$80</definedName>
    <definedName name="OSRRefD20x_3" localSheetId="75">'406'!$G$18,'406'!$G$20,'406'!$G$22,'406'!$G$24,'406'!$G$26</definedName>
    <definedName name="OSRRefD20x_3" localSheetId="76">'411'!$G$18,'411'!$G$28,'411'!$G$39,'411'!$G$41,'411'!$G$43,'411'!$G$46,'411'!$G$48,'411'!$G$50,'411'!$G$52,'411'!$G$54,'411'!$G$59,'411'!$G$64,'411'!$G$66,'411'!$G$73,'411'!$G$75,'411'!$G$77</definedName>
    <definedName name="OSRRefD20x_3" localSheetId="77">'412'!$G$20,'412'!$G$29,'412'!$G$40,'412'!$G$42,'412'!$G$44,'412'!$G$47,'412'!$G$49,'412'!$G$51,'412'!$G$53,'412'!$G$56,'412'!$G$58,'412'!$G$63,'412'!$G$68,'412'!$G$71</definedName>
    <definedName name="OSRRefD20x_3" localSheetId="78">'413'!$G$21,'413'!$G$31,'413'!$G$42,'413'!$G$44,'413'!$G$46,'413'!$G$48,'413'!$G$50,'413'!$G$53,'413'!$G$56,'413'!$G$59</definedName>
    <definedName name="OSRRefD20x_3" localSheetId="79">'414'!$G$23,'414'!$G$33,'414'!$G$44,'414'!$G$46,'414'!$G$48,'414'!$G$50,'414'!$G$52,'414'!$G$54,'414'!$G$56,'414'!$G$59,'414'!$G$61,'414'!$G$63,'414'!$G$65,'414'!$G$69</definedName>
    <definedName name="OSRRefD20x_3" localSheetId="80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1">'418'!$G$22,'418'!$G$31,'418'!$G$42,'418'!$G$44,'418'!$G$46,'418'!$G$49,'418'!$G$51,'418'!$G$53,'418'!$G$55,'418'!$G$58,'418'!$G$61,'418'!$G$63,'418'!$G$70,'418'!$G$73</definedName>
    <definedName name="OSRRefD20x_3" localSheetId="82">'420'!$G$20,'420'!$G$22</definedName>
    <definedName name="OSRRefD20x_3" localSheetId="83">'423'!$G$18,'423'!$G$27,'423'!$G$38,'423'!$G$40,'423'!$G$43,'423'!$G$45,'423'!$G$47</definedName>
    <definedName name="OSRRefD20x_3" localSheetId="84">'424'!$G$18,'424'!$G$20,'424'!$G$22,'424'!$G$24</definedName>
    <definedName name="OSRRefD20x_3" localSheetId="85">'425'!$G$19,'425'!$G$25,'425'!$G$27,'425'!$G$29,'425'!$G$31,'425'!$G$34</definedName>
    <definedName name="OSRRefD20x_3" localSheetId="88">'430'!$G$18,'430'!$G$28,'430'!$G$39,'430'!$G$41,'430'!$G$43,'430'!$G$47,'430'!$G$50,'430'!$G$52</definedName>
    <definedName name="OSRRefD20x_3" localSheetId="89">'433'!$G$25,'433'!$G$36,'433'!$G$47,'433'!$G$49,'433'!$G$51,'433'!$G$53,'433'!$G$55,'433'!$G$57,'433'!$G$59,'433'!$G$61,'433'!$G$63,'433'!$G$65,'433'!$G$68,'433'!$G$73,'433'!$G$81,'433'!$G$83</definedName>
    <definedName name="OSRRefD20x_3" localSheetId="90">'435'!$G$18</definedName>
    <definedName name="OSRRefD20x_3" localSheetId="91">'444'!$G$25,'444'!$G$36,'444'!$G$47,'444'!$G$49,'444'!$G$51,'444'!$G$53,'444'!$G$55,'444'!$G$57,'444'!$G$59,'444'!$G$61,'444'!$G$63,'444'!$G$65,'444'!$G$68,'444'!$G$73,'444'!$G$75,'444'!$G$84,'444'!$G$87,'444'!$G$89</definedName>
    <definedName name="OSRRefD20x_3" localSheetId="92">'450'!$G$21,'450'!$G$32,'450'!$G$43,'450'!$G$45,'450'!$G$47,'450'!$G$49,'450'!$G$51,'450'!$G$53,'450'!$G$55,'450'!$G$57,'450'!$G$59,'450'!$G$61,'450'!$G$63,'450'!$G$65,'450'!$G$69,'450'!$G$75,'450'!$G$78</definedName>
    <definedName name="OSRRefD20x_3" localSheetId="73">'491'!$G$28,'491'!$G$38,'491'!$G$49,'491'!$G$51,'491'!$G$53,'491'!$G$55,'491'!$G$59,'491'!$G$61,'491'!$G$63,'491'!$G$65,'491'!$G$67,'491'!$G$69,'491'!$G$71,'491'!$G$73,'491'!$G$75,'491'!$G$80,'491'!$G$83,'491'!$G$89,'491'!$G$91,'491'!$G$102,'491'!$G$105,'491'!$G$107,'491'!$G$109</definedName>
    <definedName name="OSRRefD20x_3" localSheetId="87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4">'501'!$G$20,'501'!$G$31,'501'!$G$42,'501'!$G$44,'501'!$G$46,'501'!$G$48,'501'!$G$51,'501'!$G$53,'501'!$G$55,'501'!$G$57,'501'!$G$61,'501'!$G$64</definedName>
    <definedName name="OSRRefD20x_3" localSheetId="39">'Div 2'!$G$18,'Div 2'!$G$30,'Div 2'!$G$41,'Div 2'!$G$43,'Div 2'!$G$45,'Div 2'!$G$47,'Div 2'!$G$49,'Div 2'!$G$51,'Div 2'!$G$53,'Div 2'!$G$55,'Div 2'!$G$58,'Div 2'!$G$60,'Div 2'!$G$62,'Div 2'!$G$67,'Div 2'!$G$72,'Div 2'!$G$75,'Div 2'!$G$78,'Div 2'!$G$83,'Div 2'!$G$86,'Div 2'!$G$88</definedName>
    <definedName name="OSRRefD20x_3" localSheetId="47">'Div 3'!$G$126,'Div 3'!$G$137,'Div 3'!$G$148,'Div 3'!$G$150,'Div 3'!$G$153,'Div 3'!$G$155,'Div 3'!$G$158,'Div 3'!$G$161,'Div 3'!$G$163,'Div 3'!$G$165,'Div 3'!$G$167,'Div 3'!$G$170,'Div 3'!$G$173,'Div 3'!$G$175,'Div 3'!$G$177,'Div 3'!$G$180,'Div 3'!$G$182,'Div 3'!$G$184,'Div 3'!$G$189,'Div 3'!$G$194,'Div 3'!$G$199,'Div 3'!$G$202,'Div 3'!$G$212,'Div 3'!$G$215,'Div 3'!$G$217,'Div 3'!$G$221</definedName>
    <definedName name="OSRRefD20x_3" localSheetId="71">'Div 4'!$G$30,'Div 4'!$G$41,'Div 4'!$G$52,'Div 4'!$G$54,'Div 4'!$G$56,'Div 4'!$G$58,'Div 4'!$G$62,'Div 4'!$G$64,'Div 4'!$G$66,'Div 4'!$G$68,'Div 4'!$G$70,'Div 4'!$G$72,'Div 4'!$G$74,'Div 4'!$G$76,'Div 4'!$G$78,'Div 4'!$G$80,'Div 4'!$G$85,'Div 4'!$G$88,'Div 4'!$G$94,'Div 4'!$G$97,'Div 4'!$G$109,'Div 4'!$G$112,'Div 4'!$G$114,'Div 4'!$G$118</definedName>
    <definedName name="OSRRefD20x_3" localSheetId="93">'Div 5'!$G$20,'Div 5'!$G$31,'Div 5'!$G$42,'Div 5'!$G$44,'Div 5'!$G$46,'Div 5'!$G$48,'Div 5'!$G$51,'Div 5'!$G$53,'Div 5'!$G$55,'Div 5'!$G$57,'Div 5'!$G$61,'Div 5'!$G$64</definedName>
    <definedName name="OSRRefD20x_3" localSheetId="62">'Div 6'!$G$51,'Div 6'!$G$62,'Div 6'!$G$73,'Div 6'!$G$75,'Div 6'!$G$77,'Div 6'!$G$79,'Div 6'!$G$81,'Div 6'!$G$84,'Div 6'!$G$86,'Div 6'!$G$88,'Div 6'!$G$91,'Div 6'!$G$93,'Div 6'!$G$98,'Div 6'!$G$100</definedName>
    <definedName name="OSRRefD20x_3" localSheetId="2">Summary!$G$156,Summary!$G$167,Summary!$G$178,Summary!$G$180,Summary!$G$183,Summary!$G$185,Summary!$G$189,Summary!$G$192,Summary!$G$194,Summary!$G$196,Summary!$G$198,Summary!$G$201,Summary!$G$204,Summary!$G$206,Summary!$G$208,Summary!$G$211,Summary!$G$213,Summary!$G$215,Summary!$G$217,Summary!$G$222,Summary!$G$227,Summary!$G$233,Summary!$G$236,Summary!$G$248,Summary!$G$251,Summary!$G$253,Summary!$G$257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'201'!$H$18,'201'!$H$28,'201'!$H$39,'201'!$H$41,'201'!$H$43,'201'!$H$45,'201'!$H$47,'201'!$H$49,'201'!$H$51,'201'!$H$53,'201'!$H$55,'201'!$H$58,'201'!$H$61,'201'!$H$63,'201'!$H$67,'201'!$H$69</definedName>
    <definedName name="OSRRefD20x_4" localSheetId="42">'202'!$H$18,'202'!$H$28,'202'!$H$39,'202'!$H$41,'202'!$H$43,'202'!$H$46,'202'!$H$48,'202'!$H$50,'202'!$H$54,'202'!$H$56,'202'!$H$59,'202'!$H$61,'202'!$H$63</definedName>
    <definedName name="OSRRefD20x_4" localSheetId="43">'203'!$H$18,'203'!$H$29,'203'!$H$40,'203'!$H$42,'203'!$H$44,'203'!$H$46,'203'!$H$48,'203'!$H$50,'203'!$H$52,'203'!$H$56,'203'!$H$59,'203'!$H$61,'203'!$H$65,'203'!$H$67,'203'!$H$69</definedName>
    <definedName name="OSRRefD20x_4" localSheetId="44">'204'!$H$18,'204'!$H$29,'204'!$H$40,'204'!$H$42,'204'!$H$44,'204'!$H$46,'204'!$H$50,'204'!$H$52,'204'!$H$54,'204'!$H$57,'204'!$H$59</definedName>
    <definedName name="OSRRefD20x_4" localSheetId="45">'205'!$H$18,'205'!$H$28,'205'!$H$39,'205'!$H$41,'205'!$H$43,'205'!$H$46,'205'!$H$48,'205'!$H$51</definedName>
    <definedName name="OSRRefD20x_4" localSheetId="46">'206'!$H$18,'206'!$H$28,'206'!$H$39,'206'!$H$41,'206'!$H$43,'206'!$H$45,'206'!$H$47</definedName>
    <definedName name="OSRRefD20x_4" localSheetId="48">'300'!$H$122,'300'!$H$133,'300'!$H$144,'300'!$H$146,'300'!$H$149,'300'!$H$151,'300'!$H$154,'300'!$H$157,'300'!$H$159,'300'!$H$161,'300'!$H$163,'300'!$H$166,'300'!$H$169,'300'!$H$171,'300'!$H$174,'300'!$H$176,'300'!$H$178,'300'!$H$183,'300'!$H$188,'300'!$H$193,'300'!$H$196,'300'!$H$206,'300'!$H$209,'300'!$H$211,'300'!$H$215</definedName>
    <definedName name="OSRRefD20x_4" localSheetId="49">'300 &amp; 317'!$H$146,'300 &amp; 317'!$H$157,'300 &amp; 317'!$H$168,'300 &amp; 317'!$H$170,'300 &amp; 317'!$H$173,'300 &amp; 317'!$H$175,'300 &amp; 317'!$H$178,'300 &amp; 317'!$H$181,'300 &amp; 317'!$H$183,'300 &amp; 317'!$H$185,'300 &amp; 317'!$H$187,'300 &amp; 317'!$H$190,'300 &amp; 317'!$H$193,'300 &amp; 317'!$H$195,'300 &amp; 317'!$H$198,'300 &amp; 317'!$H$200,'300 &amp; 317'!$H$202,'300 &amp; 317'!$H$207,'300 &amp; 317'!$H$212,'300 &amp; 317'!$H$217,'300 &amp; 317'!$H$220,'300 &amp; 317'!$H$230,'300 &amp; 317'!$H$233,'300 &amp; 317'!$H$235,'300 &amp; 317'!$H$239</definedName>
    <definedName name="OSRRefD20x_4" localSheetId="50">'301'!$H$19,'301'!$H$30,'301'!$H$41,'301'!$H$43,'301'!$H$46,'301'!$H$48,'301'!$H$51,'301'!$H$53,'301'!$H$55,'301'!$H$57,'301'!$H$59,'301'!$H$61,'301'!$H$63,'301'!$H$65,'301'!$H$67,'301'!$H$69,'301'!$H$74,'301'!$H$78,'301'!$H$80,'301'!$H$88,'301'!$H$90,'301'!$H$92,'301'!$H$95</definedName>
    <definedName name="OSRRefD20x_4" localSheetId="51">'306'!$H$18,'306'!$H$28,'306'!$H$39,'306'!$H$41,'306'!$H$43,'306'!$H$45,'306'!$H$47,'306'!$H$49,'306'!$H$51</definedName>
    <definedName name="OSRRefD20x_4" localSheetId="53">'307'!$H$37,'307'!$H$46,'307'!$H$57,'307'!$H$59,'307'!$H$61,'307'!$H$63,'307'!$H$66,'307'!$H$69,'307'!$H$71,'307'!$H$74,'307'!$H$77,'307'!$H$81,'307'!$H$84</definedName>
    <definedName name="OSRRefD20x_4" localSheetId="54">'308'!$H$57,'308'!$H$68,'308'!$H$79,'308'!$H$81,'308'!$H$84,'308'!$H$86,'308'!$H$88,'308'!$H$91,'308'!$H$94,'308'!$H$96,'308'!$H$100,'308'!$H$103,'308'!$H$107,'308'!$H$110</definedName>
    <definedName name="OSRRefD20x_4" localSheetId="65">'309'!$H$20,'309'!$H$29,'309'!$H$40,'309'!$H$42,'309'!$H$44,'309'!$H$46,'309'!$H$48,'309'!$H$50,'309'!$H$53,'309'!$H$56,'309'!$H$59</definedName>
    <definedName name="OSRRefD20x_4" localSheetId="64">'310'!$H$28,'310'!$H$38,'310'!$H$49,'310'!$H$51,'310'!$H$53,'310'!$H$55,'310'!$H$58,'310'!$H$60,'310'!$H$62,'310'!$H$64,'310'!$H$66,'310'!$H$68,'310'!$H$70,'310'!$H$73,'310'!$H$75,'310'!$H$79,'310'!$H$86,'310'!$H$89</definedName>
    <definedName name="OSRRefD20x_4" localSheetId="72">'310 &amp; 491'!$H$34,'310 &amp; 491'!$H$44,'310 &amp; 491'!$H$55,'310 &amp; 491'!$H$57,'310 &amp; 491'!$H$59,'310 &amp; 491'!$H$61,'310 &amp; 491'!$H$65,'310 &amp; 491'!$H$67,'310 &amp; 491'!$H$69,'310 &amp; 491'!$H$72,'310 &amp; 491'!$H$74,'310 &amp; 491'!$H$76,'310 &amp; 491'!$H$78,'310 &amp; 491'!$H$80,'310 &amp; 491'!$H$82,'310 &amp; 491'!$H$87,'310 &amp; 491'!$H$90,'310 &amp; 491'!$H$96,'310 &amp; 491'!$H$98,'310 &amp; 491'!$H$109,'310 &amp; 491'!$H$112,'310 &amp; 491'!$H$114,'310 &amp; 491'!$H$116</definedName>
    <definedName name="OSRRefD20x_4" localSheetId="55">'311'!$H$56,'311'!$H$67,'311'!$H$78,'311'!$H$80,'311'!$H$83,'311'!$H$85,'311'!$H$87,'311'!$H$90,'311'!$H$93,'311'!$H$95,'311'!$H$99,'311'!$H$102,'311'!$H$106,'311'!$H$109</definedName>
    <definedName name="OSRRefD20x_4" localSheetId="66">'313'!$H$23,'313'!$H$33,'313'!$H$44,'313'!$H$46,'313'!$H$48,'313'!$H$50,'313'!$H$52</definedName>
    <definedName name="OSRRefD20x_4" localSheetId="58">'315'!$H$79,'315'!$H$89,'315'!$H$100,'315'!$H$102,'315'!$H$104,'315'!$H$106,'315'!$H$109,'315'!$H$111,'315'!$H$114,'315'!$H$116,'315'!$H$119,'315'!$H$121,'315'!$H$123,'315'!$H$127,'315'!$H$130,'315'!$H$138,'315'!$H$140</definedName>
    <definedName name="OSRRefD20x_4" localSheetId="61">'316'!$H$30,'316'!$H$40,'316'!$H$51,'316'!$H$53,'316'!$H$55,'316'!$H$57,'316'!$H$59,'316'!$H$62,'316'!$H$66,'316'!$H$68,'316'!$H$74,'316'!$H$76</definedName>
    <definedName name="OSRRefD20x_4" localSheetId="63">'317'!$H$51,'317'!$H$62,'317'!$H$73,'317'!$H$75,'317'!$H$77,'317'!$H$79,'317'!$H$81,'317'!$H$84,'317'!$H$86,'317'!$H$88,'317'!$H$91,'317'!$H$93,'317'!$H$98,'317'!$H$100</definedName>
    <definedName name="OSRRefD20x_4" localSheetId="67">'321'!$H$22,'321'!$H$32,'321'!$H$43,'321'!$H$45,'321'!$H$47,'321'!$H$49,'321'!$H$51,'321'!$H$54,'321'!$H$56,'321'!$H$59,'321'!$H$62,'321'!$H$65</definedName>
    <definedName name="OSRRefD20x_4" localSheetId="68">'322'!$H$21,'322'!$H$30,'322'!$H$41,'322'!$H$43,'322'!$H$45,'322'!$H$47,'322'!$H$49,'322'!$H$52,'322'!$H$55,'322'!$H$59,'322'!$H$61</definedName>
    <definedName name="OSRRefD20x_4" localSheetId="56">'324'!$H$25,'324'!$H$34</definedName>
    <definedName name="OSRRefD20x_4" localSheetId="69">'325'!$H$20,'325'!$H$29,'325'!$H$40,'325'!$H$42,'325'!$H$44,'325'!$H$46,'325'!$H$49,'325'!$H$51,'325'!$H$53,'325'!$H$55,'325'!$H$57,'325'!$H$60,'325'!$H$63,'325'!$H$69,'325'!$H$72</definedName>
    <definedName name="OSRRefD20x_4" localSheetId="59">'326'!$H$46,'326'!$H$56,'326'!$H$67,'326'!$H$69,'326'!$H$71,'326'!$H$73,'326'!$H$75,'326'!$H$77,'326'!$H$79,'326'!$H$81,'326'!$H$83,'326'!$H$85,'326'!$H$87,'326'!$H$91,'326'!$H$95,'326'!$H$98,'326'!$H$105,'326'!$H$108,'326'!$H$110,'326'!$H$113</definedName>
    <definedName name="OSRRefD20x_4" localSheetId="70">'327'!$H$22,'327'!$H$24</definedName>
    <definedName name="OSRRefD20x_4" localSheetId="52">'330'!$H$40,'330'!$H$50,'330'!$H$61,'330'!$H$63,'330'!$H$65,'330'!$H$67,'330'!$H$70,'330'!$H$73,'330'!$H$75,'330'!$H$78,'330'!$H$81,'330'!$H$85,'330'!$H$88</definedName>
    <definedName name="OSRRefD20x_4" localSheetId="57">'331'!$H$80,'331'!$H$90,'331'!$H$101,'331'!$H$103,'331'!$H$105,'331'!$H$107,'331'!$H$110,'331'!$H$112,'331'!$H$115,'331'!$H$117,'331'!$H$119,'331'!$H$122,'331'!$H$124,'331'!$H$126,'331'!$H$130,'331'!$H$134,'331'!$H$138,'331'!$H$141,'331'!$H$150,'331'!$H$153,'331'!$H$155,'331'!$H$158</definedName>
    <definedName name="OSRRefD20x_4" localSheetId="60">'332'!$H$32,'332'!$H$42,'332'!$H$53,'332'!$H$55,'332'!$H$57,'332'!$H$59,'332'!$H$61,'332'!$H$64,'332'!$H$68,'332'!$H$70,'332'!$H$76,'332'!$H$78</definedName>
    <definedName name="OSRRefD20x_4" localSheetId="74">'405'!$H$22,'405'!$H$31,'405'!$H$42,'405'!$H$44,'405'!$H$46,'405'!$H$49,'405'!$H$51,'405'!$H$53,'405'!$H$55,'405'!$H$57,'405'!$H$60,'405'!$H$62,'405'!$H$67,'405'!$H$69,'405'!$H$78,'405'!$H$80</definedName>
    <definedName name="OSRRefD20x_4" localSheetId="75">'406'!$H$18,'406'!$H$20,'406'!$H$22,'406'!$H$24,'406'!$H$26</definedName>
    <definedName name="OSRRefD20x_4" localSheetId="76">'411'!$H$18,'411'!$H$28,'411'!$H$39,'411'!$H$41,'411'!$H$43,'411'!$H$46,'411'!$H$48,'411'!$H$50,'411'!$H$52,'411'!$H$54,'411'!$H$59,'411'!$H$64,'411'!$H$66,'411'!$H$73,'411'!$H$75,'411'!$H$77</definedName>
    <definedName name="OSRRefD20x_4" localSheetId="77">'412'!$H$20,'412'!$H$29,'412'!$H$40,'412'!$H$42,'412'!$H$44,'412'!$H$47,'412'!$H$49,'412'!$H$51,'412'!$H$53,'412'!$H$56,'412'!$H$58,'412'!$H$63,'412'!$H$68,'412'!$H$71</definedName>
    <definedName name="OSRRefD20x_4" localSheetId="78">'413'!$H$21,'413'!$H$31,'413'!$H$42,'413'!$H$44,'413'!$H$46,'413'!$H$48,'413'!$H$50,'413'!$H$53,'413'!$H$56,'413'!$H$59</definedName>
    <definedName name="OSRRefD20x_4" localSheetId="79">'414'!$H$23,'414'!$H$33,'414'!$H$44,'414'!$H$46,'414'!$H$48,'414'!$H$50,'414'!$H$52,'414'!$H$54,'414'!$H$56,'414'!$H$59,'414'!$H$61,'414'!$H$63,'414'!$H$65,'414'!$H$69</definedName>
    <definedName name="OSRRefD20x_4" localSheetId="80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1">'418'!$H$22,'418'!$H$31,'418'!$H$42,'418'!$H$44,'418'!$H$46,'418'!$H$49,'418'!$H$51,'418'!$H$53,'418'!$H$55,'418'!$H$58,'418'!$H$61,'418'!$H$63,'418'!$H$70,'418'!$H$73</definedName>
    <definedName name="OSRRefD20x_4" localSheetId="82">'420'!$H$20,'420'!$H$22</definedName>
    <definedName name="OSRRefD20x_4" localSheetId="83">'423'!$H$18,'423'!$H$27,'423'!$H$38,'423'!$H$40,'423'!$H$43,'423'!$H$45,'423'!$H$47</definedName>
    <definedName name="OSRRefD20x_4" localSheetId="84">'424'!$H$18,'424'!$H$20,'424'!$H$22,'424'!$H$24</definedName>
    <definedName name="OSRRefD20x_4" localSheetId="85">'425'!$H$19,'425'!$H$25,'425'!$H$27,'425'!$H$29,'425'!$H$31,'425'!$H$34</definedName>
    <definedName name="OSRRefD20x_4" localSheetId="88">'430'!$H$18,'430'!$H$28,'430'!$H$39,'430'!$H$41,'430'!$H$43,'430'!$H$47,'430'!$H$50,'430'!$H$52</definedName>
    <definedName name="OSRRefD20x_4" localSheetId="89">'433'!$H$25,'433'!$H$36,'433'!$H$47,'433'!$H$49,'433'!$H$51,'433'!$H$53,'433'!$H$55,'433'!$H$57,'433'!$H$59,'433'!$H$61,'433'!$H$63,'433'!$H$65,'433'!$H$68,'433'!$H$73,'433'!$H$81,'433'!$H$83</definedName>
    <definedName name="OSRRefD20x_4" localSheetId="90">'435'!$H$18</definedName>
    <definedName name="OSRRefD20x_4" localSheetId="91">'444'!$H$25,'444'!$H$36,'444'!$H$47,'444'!$H$49,'444'!$H$51,'444'!$H$53,'444'!$H$55,'444'!$H$57,'444'!$H$59,'444'!$H$61,'444'!$H$63,'444'!$H$65,'444'!$H$68,'444'!$H$73,'444'!$H$75,'444'!$H$84,'444'!$H$87,'444'!$H$89</definedName>
    <definedName name="OSRRefD20x_4" localSheetId="92">'450'!$H$21,'450'!$H$32,'450'!$H$43,'450'!$H$45,'450'!$H$47,'450'!$H$49,'450'!$H$51,'450'!$H$53,'450'!$H$55,'450'!$H$57,'450'!$H$59,'450'!$H$61,'450'!$H$63,'450'!$H$65,'450'!$H$69,'450'!$H$75,'450'!$H$78</definedName>
    <definedName name="OSRRefD20x_4" localSheetId="73">'491'!$H$28,'491'!$H$38,'491'!$H$49,'491'!$H$51,'491'!$H$53,'491'!$H$55,'491'!$H$59,'491'!$H$61,'491'!$H$63,'491'!$H$65,'491'!$H$67,'491'!$H$69,'491'!$H$71,'491'!$H$73,'491'!$H$75,'491'!$H$80,'491'!$H$83,'491'!$H$89,'491'!$H$91,'491'!$H$102,'491'!$H$105,'491'!$H$107,'491'!$H$109</definedName>
    <definedName name="OSRRefD20x_4" localSheetId="87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4">'501'!$H$20,'501'!$H$31,'501'!$H$42,'501'!$H$44,'501'!$H$46,'501'!$H$48,'501'!$H$51,'501'!$H$53,'501'!$H$55,'501'!$H$57,'501'!$H$61,'501'!$H$64</definedName>
    <definedName name="OSRRefD20x_4" localSheetId="39">'Div 2'!$H$18,'Div 2'!$H$30,'Div 2'!$H$41,'Div 2'!$H$43,'Div 2'!$H$45,'Div 2'!$H$47,'Div 2'!$H$49,'Div 2'!$H$51,'Div 2'!$H$53,'Div 2'!$H$55,'Div 2'!$H$58,'Div 2'!$H$60,'Div 2'!$H$62,'Div 2'!$H$67,'Div 2'!$H$72,'Div 2'!$H$75,'Div 2'!$H$78,'Div 2'!$H$83,'Div 2'!$H$86,'Div 2'!$H$88</definedName>
    <definedName name="OSRRefD20x_4" localSheetId="47">'Div 3'!$H$126,'Div 3'!$H$137,'Div 3'!$H$148,'Div 3'!$H$150,'Div 3'!$H$153,'Div 3'!$H$155,'Div 3'!$H$158,'Div 3'!$H$161,'Div 3'!$H$163,'Div 3'!$H$165,'Div 3'!$H$167,'Div 3'!$H$170,'Div 3'!$H$173,'Div 3'!$H$175,'Div 3'!$H$177,'Div 3'!$H$180,'Div 3'!$H$182,'Div 3'!$H$184,'Div 3'!$H$189,'Div 3'!$H$194,'Div 3'!$H$199,'Div 3'!$H$202,'Div 3'!$H$212,'Div 3'!$H$215,'Div 3'!$H$217,'Div 3'!$H$221</definedName>
    <definedName name="OSRRefD20x_4" localSheetId="71">'Div 4'!$H$30,'Div 4'!$H$41,'Div 4'!$H$52,'Div 4'!$H$54,'Div 4'!$H$56,'Div 4'!$H$58,'Div 4'!$H$62,'Div 4'!$H$64,'Div 4'!$H$66,'Div 4'!$H$68,'Div 4'!$H$70,'Div 4'!$H$72,'Div 4'!$H$74,'Div 4'!$H$76,'Div 4'!$H$78,'Div 4'!$H$80,'Div 4'!$H$85,'Div 4'!$H$88,'Div 4'!$H$94,'Div 4'!$H$97,'Div 4'!$H$109,'Div 4'!$H$112,'Div 4'!$H$114,'Div 4'!$H$118</definedName>
    <definedName name="OSRRefD20x_4" localSheetId="93">'Div 5'!$H$20,'Div 5'!$H$31,'Div 5'!$H$42,'Div 5'!$H$44,'Div 5'!$H$46,'Div 5'!$H$48,'Div 5'!$H$51,'Div 5'!$H$53,'Div 5'!$H$55,'Div 5'!$H$57,'Div 5'!$H$61,'Div 5'!$H$64</definedName>
    <definedName name="OSRRefD20x_4" localSheetId="62">'Div 6'!$H$51,'Div 6'!$H$62,'Div 6'!$H$73,'Div 6'!$H$75,'Div 6'!$H$77,'Div 6'!$H$79,'Div 6'!$H$81,'Div 6'!$H$84,'Div 6'!$H$86,'Div 6'!$H$88,'Div 6'!$H$91,'Div 6'!$H$93,'Div 6'!$H$98,'Div 6'!$H$100</definedName>
    <definedName name="OSRRefD20x_4" localSheetId="2">Summary!$H$156,Summary!$H$167,Summary!$H$178,Summary!$H$180,Summary!$H$183,Summary!$H$185,Summary!$H$189,Summary!$H$192,Summary!$H$194,Summary!$H$196,Summary!$H$198,Summary!$H$201,Summary!$H$204,Summary!$H$206,Summary!$H$208,Summary!$H$211,Summary!$H$213,Summary!$H$215,Summary!$H$217,Summary!$H$222,Summary!$H$227,Summary!$H$233,Summary!$H$236,Summary!$H$248,Summary!$H$251,Summary!$H$253,Summary!$H$257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'201'!$I$18,'201'!$I$28,'201'!$I$39,'201'!$I$41,'201'!$I$43,'201'!$I$45,'201'!$I$47,'201'!$I$49,'201'!$I$51,'201'!$I$53,'201'!$I$55,'201'!$I$58,'201'!$I$61,'201'!$I$63,'201'!$I$67,'201'!$I$69</definedName>
    <definedName name="OSRRefD20x_5" localSheetId="42">'202'!$I$18,'202'!$I$28,'202'!$I$39,'202'!$I$41,'202'!$I$43,'202'!$I$46,'202'!$I$48,'202'!$I$50,'202'!$I$54,'202'!$I$56,'202'!$I$59,'202'!$I$61,'202'!$I$63</definedName>
    <definedName name="OSRRefD20x_5" localSheetId="43">'203'!$I$18,'203'!$I$29,'203'!$I$40,'203'!$I$42,'203'!$I$44,'203'!$I$46,'203'!$I$48,'203'!$I$50,'203'!$I$52,'203'!$I$56,'203'!$I$59,'203'!$I$61,'203'!$I$65,'203'!$I$67,'203'!$I$69</definedName>
    <definedName name="OSRRefD20x_5" localSheetId="44">'204'!$I$18,'204'!$I$29,'204'!$I$40,'204'!$I$42,'204'!$I$44,'204'!$I$46,'204'!$I$50,'204'!$I$52,'204'!$I$54,'204'!$I$57,'204'!$I$59</definedName>
    <definedName name="OSRRefD20x_5" localSheetId="45">'205'!$I$18,'205'!$I$28,'205'!$I$39,'205'!$I$41,'205'!$I$43,'205'!$I$46,'205'!$I$48,'205'!$I$51</definedName>
    <definedName name="OSRRefD20x_5" localSheetId="46">'206'!$I$18,'206'!$I$28,'206'!$I$39,'206'!$I$41,'206'!$I$43,'206'!$I$45,'206'!$I$47</definedName>
    <definedName name="OSRRefD20x_5" localSheetId="48">'300'!$I$122,'300'!$I$133,'300'!$I$144,'300'!$I$146,'300'!$I$149,'300'!$I$151,'300'!$I$154,'300'!$I$157,'300'!$I$159,'300'!$I$161,'300'!$I$163,'300'!$I$166,'300'!$I$169,'300'!$I$171,'300'!$I$174,'300'!$I$176,'300'!$I$178,'300'!$I$183,'300'!$I$188,'300'!$I$193,'300'!$I$196,'300'!$I$206,'300'!$I$209,'300'!$I$211,'300'!$I$215</definedName>
    <definedName name="OSRRefD20x_5" localSheetId="49">'300 &amp; 317'!$I$146,'300 &amp; 317'!$I$157,'300 &amp; 317'!$I$168,'300 &amp; 317'!$I$170,'300 &amp; 317'!$I$173,'300 &amp; 317'!$I$175,'300 &amp; 317'!$I$178,'300 &amp; 317'!$I$181,'300 &amp; 317'!$I$183,'300 &amp; 317'!$I$185,'300 &amp; 317'!$I$187,'300 &amp; 317'!$I$190,'300 &amp; 317'!$I$193,'300 &amp; 317'!$I$195,'300 &amp; 317'!$I$198,'300 &amp; 317'!$I$200,'300 &amp; 317'!$I$202,'300 &amp; 317'!$I$207,'300 &amp; 317'!$I$212,'300 &amp; 317'!$I$217,'300 &amp; 317'!$I$220,'300 &amp; 317'!$I$230,'300 &amp; 317'!$I$233,'300 &amp; 317'!$I$235,'300 &amp; 317'!$I$239</definedName>
    <definedName name="OSRRefD20x_5" localSheetId="50">'301'!$I$19,'301'!$I$30,'301'!$I$41,'301'!$I$43,'301'!$I$46,'301'!$I$48,'301'!$I$51,'301'!$I$53,'301'!$I$55,'301'!$I$57,'301'!$I$59,'301'!$I$61,'301'!$I$63,'301'!$I$65,'301'!$I$67,'301'!$I$69,'301'!$I$74,'301'!$I$78,'301'!$I$80,'301'!$I$88,'301'!$I$90,'301'!$I$92,'301'!$I$95</definedName>
    <definedName name="OSRRefD20x_5" localSheetId="51">'306'!$I$18,'306'!$I$28,'306'!$I$39,'306'!$I$41,'306'!$I$43,'306'!$I$45,'306'!$I$47,'306'!$I$49,'306'!$I$51</definedName>
    <definedName name="OSRRefD20x_5" localSheetId="53">'307'!$I$37,'307'!$I$46,'307'!$I$57,'307'!$I$59,'307'!$I$61,'307'!$I$63,'307'!$I$66,'307'!$I$69,'307'!$I$71,'307'!$I$74,'307'!$I$77,'307'!$I$81,'307'!$I$84</definedName>
    <definedName name="OSRRefD20x_5" localSheetId="54">'308'!$I$57,'308'!$I$68,'308'!$I$79,'308'!$I$81,'308'!$I$84,'308'!$I$86,'308'!$I$88,'308'!$I$91,'308'!$I$94,'308'!$I$96,'308'!$I$100,'308'!$I$103,'308'!$I$107,'308'!$I$110</definedName>
    <definedName name="OSRRefD20x_5" localSheetId="65">'309'!$I$20,'309'!$I$29,'309'!$I$40,'309'!$I$42,'309'!$I$44,'309'!$I$46,'309'!$I$48,'309'!$I$50,'309'!$I$53,'309'!$I$56,'309'!$I$59</definedName>
    <definedName name="OSRRefD20x_5" localSheetId="64">'310'!$I$28,'310'!$I$38,'310'!$I$49,'310'!$I$51,'310'!$I$53,'310'!$I$55,'310'!$I$58,'310'!$I$60,'310'!$I$62,'310'!$I$64,'310'!$I$66,'310'!$I$68,'310'!$I$70,'310'!$I$73,'310'!$I$75,'310'!$I$79,'310'!$I$86,'310'!$I$89</definedName>
    <definedName name="OSRRefD20x_5" localSheetId="72">'310 &amp; 491'!$I$34,'310 &amp; 491'!$I$44,'310 &amp; 491'!$I$55,'310 &amp; 491'!$I$57,'310 &amp; 491'!$I$59,'310 &amp; 491'!$I$61,'310 &amp; 491'!$I$65,'310 &amp; 491'!$I$67,'310 &amp; 491'!$I$69,'310 &amp; 491'!$I$72,'310 &amp; 491'!$I$74,'310 &amp; 491'!$I$76,'310 &amp; 491'!$I$78,'310 &amp; 491'!$I$80,'310 &amp; 491'!$I$82,'310 &amp; 491'!$I$87,'310 &amp; 491'!$I$90,'310 &amp; 491'!$I$96,'310 &amp; 491'!$I$98,'310 &amp; 491'!$I$109,'310 &amp; 491'!$I$112,'310 &amp; 491'!$I$114,'310 &amp; 491'!$I$116</definedName>
    <definedName name="OSRRefD20x_5" localSheetId="55">'311'!$I$56,'311'!$I$67,'311'!$I$78,'311'!$I$80,'311'!$I$83,'311'!$I$85,'311'!$I$87,'311'!$I$90,'311'!$I$93,'311'!$I$95,'311'!$I$99,'311'!$I$102,'311'!$I$106,'311'!$I$109</definedName>
    <definedName name="OSRRefD20x_5" localSheetId="66">'313'!$I$23,'313'!$I$33,'313'!$I$44,'313'!$I$46,'313'!$I$48,'313'!$I$50,'313'!$I$52</definedName>
    <definedName name="OSRRefD20x_5" localSheetId="58">'315'!$I$79,'315'!$I$89,'315'!$I$100,'315'!$I$102,'315'!$I$104,'315'!$I$106,'315'!$I$109,'315'!$I$111,'315'!$I$114,'315'!$I$116,'315'!$I$119,'315'!$I$121,'315'!$I$123,'315'!$I$127,'315'!$I$130,'315'!$I$138,'315'!$I$140</definedName>
    <definedName name="OSRRefD20x_5" localSheetId="61">'316'!$I$30,'316'!$I$40,'316'!$I$51,'316'!$I$53,'316'!$I$55,'316'!$I$57,'316'!$I$59,'316'!$I$62,'316'!$I$66,'316'!$I$68,'316'!$I$74,'316'!$I$76</definedName>
    <definedName name="OSRRefD20x_5" localSheetId="63">'317'!$I$51,'317'!$I$62,'317'!$I$73,'317'!$I$75,'317'!$I$77,'317'!$I$79,'317'!$I$81,'317'!$I$84,'317'!$I$86,'317'!$I$88,'317'!$I$91,'317'!$I$93,'317'!$I$98,'317'!$I$100</definedName>
    <definedName name="OSRRefD20x_5" localSheetId="67">'321'!$I$22,'321'!$I$32,'321'!$I$43,'321'!$I$45,'321'!$I$47,'321'!$I$49,'321'!$I$51,'321'!$I$54,'321'!$I$56,'321'!$I$59,'321'!$I$62,'321'!$I$65</definedName>
    <definedName name="OSRRefD20x_5" localSheetId="68">'322'!$I$21,'322'!$I$30,'322'!$I$41,'322'!$I$43,'322'!$I$45,'322'!$I$47,'322'!$I$49,'322'!$I$52,'322'!$I$55,'322'!$I$59,'322'!$I$61</definedName>
    <definedName name="OSRRefD20x_5" localSheetId="56">'324'!$I$25,'324'!$I$34</definedName>
    <definedName name="OSRRefD20x_5" localSheetId="69">'325'!$I$20,'325'!$I$29,'325'!$I$40,'325'!$I$42,'325'!$I$44,'325'!$I$46,'325'!$I$49,'325'!$I$51,'325'!$I$53,'325'!$I$55,'325'!$I$57,'325'!$I$60,'325'!$I$63,'325'!$I$69,'325'!$I$72</definedName>
    <definedName name="OSRRefD20x_5" localSheetId="59">'326'!$I$46,'326'!$I$56,'326'!$I$67,'326'!$I$69,'326'!$I$71,'326'!$I$73,'326'!$I$75,'326'!$I$77,'326'!$I$79,'326'!$I$81,'326'!$I$83,'326'!$I$85,'326'!$I$87,'326'!$I$91,'326'!$I$95,'326'!$I$98,'326'!$I$105,'326'!$I$108,'326'!$I$110,'326'!$I$113</definedName>
    <definedName name="OSRRefD20x_5" localSheetId="70">'327'!$I$22,'327'!$I$24</definedName>
    <definedName name="OSRRefD20x_5" localSheetId="52">'330'!$I$40,'330'!$I$50,'330'!$I$61,'330'!$I$63,'330'!$I$65,'330'!$I$67,'330'!$I$70,'330'!$I$73,'330'!$I$75,'330'!$I$78,'330'!$I$81,'330'!$I$85,'330'!$I$88</definedName>
    <definedName name="OSRRefD20x_5" localSheetId="57">'331'!$I$80,'331'!$I$90,'331'!$I$101,'331'!$I$103,'331'!$I$105,'331'!$I$107,'331'!$I$110,'331'!$I$112,'331'!$I$115,'331'!$I$117,'331'!$I$119,'331'!$I$122,'331'!$I$124,'331'!$I$126,'331'!$I$130,'331'!$I$134,'331'!$I$138,'331'!$I$141,'331'!$I$150,'331'!$I$153,'331'!$I$155,'331'!$I$158</definedName>
    <definedName name="OSRRefD20x_5" localSheetId="60">'332'!$I$32,'332'!$I$42,'332'!$I$53,'332'!$I$55,'332'!$I$57,'332'!$I$59,'332'!$I$61,'332'!$I$64,'332'!$I$68,'332'!$I$70,'332'!$I$76,'332'!$I$78</definedName>
    <definedName name="OSRRefD20x_5" localSheetId="74">'405'!$I$22,'405'!$I$31,'405'!$I$42,'405'!$I$44,'405'!$I$46,'405'!$I$49,'405'!$I$51,'405'!$I$53,'405'!$I$55,'405'!$I$57,'405'!$I$60,'405'!$I$62,'405'!$I$67,'405'!$I$69,'405'!$I$78,'405'!$I$80</definedName>
    <definedName name="OSRRefD20x_5" localSheetId="75">'406'!$I$18,'406'!$I$20,'406'!$I$22,'406'!$I$24,'406'!$I$26</definedName>
    <definedName name="OSRRefD20x_5" localSheetId="76">'411'!$I$18,'411'!$I$28,'411'!$I$39,'411'!$I$41,'411'!$I$43,'411'!$I$46,'411'!$I$48,'411'!$I$50,'411'!$I$52,'411'!$I$54,'411'!$I$59,'411'!$I$64,'411'!$I$66,'411'!$I$73,'411'!$I$75,'411'!$I$77</definedName>
    <definedName name="OSRRefD20x_5" localSheetId="77">'412'!$I$20,'412'!$I$29,'412'!$I$40,'412'!$I$42,'412'!$I$44,'412'!$I$47,'412'!$I$49,'412'!$I$51,'412'!$I$53,'412'!$I$56,'412'!$I$58,'412'!$I$63,'412'!$I$68,'412'!$I$71</definedName>
    <definedName name="OSRRefD20x_5" localSheetId="78">'413'!$I$21,'413'!$I$31,'413'!$I$42,'413'!$I$44,'413'!$I$46,'413'!$I$48,'413'!$I$50,'413'!$I$53,'413'!$I$56,'413'!$I$59</definedName>
    <definedName name="OSRRefD20x_5" localSheetId="79">'414'!$I$23,'414'!$I$33,'414'!$I$44,'414'!$I$46,'414'!$I$48,'414'!$I$50,'414'!$I$52,'414'!$I$54,'414'!$I$56,'414'!$I$59,'414'!$I$61,'414'!$I$63,'414'!$I$65,'414'!$I$69</definedName>
    <definedName name="OSRRefD20x_5" localSheetId="80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1">'418'!$I$22,'418'!$I$31,'418'!$I$42,'418'!$I$44,'418'!$I$46,'418'!$I$49,'418'!$I$51,'418'!$I$53,'418'!$I$55,'418'!$I$58,'418'!$I$61,'418'!$I$63,'418'!$I$70,'418'!$I$73</definedName>
    <definedName name="OSRRefD20x_5" localSheetId="82">'420'!$I$20,'420'!$I$22</definedName>
    <definedName name="OSRRefD20x_5" localSheetId="83">'423'!$I$18,'423'!$I$27,'423'!$I$38,'423'!$I$40,'423'!$I$43,'423'!$I$45,'423'!$I$47</definedName>
    <definedName name="OSRRefD20x_5" localSheetId="84">'424'!$I$18,'424'!$I$20,'424'!$I$22,'424'!$I$24</definedName>
    <definedName name="OSRRefD20x_5" localSheetId="85">'425'!$I$19,'425'!$I$25,'425'!$I$27,'425'!$I$29,'425'!$I$31,'425'!$I$34</definedName>
    <definedName name="OSRRefD20x_5" localSheetId="88">'430'!$I$18,'430'!$I$28,'430'!$I$39,'430'!$I$41,'430'!$I$43,'430'!$I$47,'430'!$I$50,'430'!$I$52</definedName>
    <definedName name="OSRRefD20x_5" localSheetId="89">'433'!$I$25,'433'!$I$36,'433'!$I$47,'433'!$I$49,'433'!$I$51,'433'!$I$53,'433'!$I$55,'433'!$I$57,'433'!$I$59,'433'!$I$61,'433'!$I$63,'433'!$I$65,'433'!$I$68,'433'!$I$73,'433'!$I$81,'433'!$I$83</definedName>
    <definedName name="OSRRefD20x_5" localSheetId="90">'435'!$I$18</definedName>
    <definedName name="OSRRefD20x_5" localSheetId="91">'444'!$I$25,'444'!$I$36,'444'!$I$47,'444'!$I$49,'444'!$I$51,'444'!$I$53,'444'!$I$55,'444'!$I$57,'444'!$I$59,'444'!$I$61,'444'!$I$63,'444'!$I$65,'444'!$I$68,'444'!$I$73,'444'!$I$75,'444'!$I$84,'444'!$I$87,'444'!$I$89</definedName>
    <definedName name="OSRRefD20x_5" localSheetId="92">'450'!$I$21,'450'!$I$32,'450'!$I$43,'450'!$I$45,'450'!$I$47,'450'!$I$49,'450'!$I$51,'450'!$I$53,'450'!$I$55,'450'!$I$57,'450'!$I$59,'450'!$I$61,'450'!$I$63,'450'!$I$65,'450'!$I$69,'450'!$I$75,'450'!$I$78</definedName>
    <definedName name="OSRRefD20x_5" localSheetId="73">'491'!$I$28,'491'!$I$38,'491'!$I$49,'491'!$I$51,'491'!$I$53,'491'!$I$55,'491'!$I$59,'491'!$I$61,'491'!$I$63,'491'!$I$65,'491'!$I$67,'491'!$I$69,'491'!$I$71,'491'!$I$73,'491'!$I$75,'491'!$I$80,'491'!$I$83,'491'!$I$89,'491'!$I$91,'491'!$I$102,'491'!$I$105,'491'!$I$107,'491'!$I$109</definedName>
    <definedName name="OSRRefD20x_5" localSheetId="87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4">'501'!$I$20,'501'!$I$31,'501'!$I$42,'501'!$I$44,'501'!$I$46,'501'!$I$48,'501'!$I$51,'501'!$I$53,'501'!$I$55,'501'!$I$57,'501'!$I$61,'501'!$I$64</definedName>
    <definedName name="OSRRefD20x_5" localSheetId="39">'Div 2'!$I$18,'Div 2'!$I$30,'Div 2'!$I$41,'Div 2'!$I$43,'Div 2'!$I$45,'Div 2'!$I$47,'Div 2'!$I$49,'Div 2'!$I$51,'Div 2'!$I$53,'Div 2'!$I$55,'Div 2'!$I$58,'Div 2'!$I$60,'Div 2'!$I$62,'Div 2'!$I$67,'Div 2'!$I$72,'Div 2'!$I$75,'Div 2'!$I$78,'Div 2'!$I$83,'Div 2'!$I$86,'Div 2'!$I$88</definedName>
    <definedName name="OSRRefD20x_5" localSheetId="47">'Div 3'!$I$126,'Div 3'!$I$137,'Div 3'!$I$148,'Div 3'!$I$150,'Div 3'!$I$153,'Div 3'!$I$155,'Div 3'!$I$158,'Div 3'!$I$161,'Div 3'!$I$163,'Div 3'!$I$165,'Div 3'!$I$167,'Div 3'!$I$170,'Div 3'!$I$173,'Div 3'!$I$175,'Div 3'!$I$177,'Div 3'!$I$180,'Div 3'!$I$182,'Div 3'!$I$184,'Div 3'!$I$189,'Div 3'!$I$194,'Div 3'!$I$199,'Div 3'!$I$202,'Div 3'!$I$212,'Div 3'!$I$215,'Div 3'!$I$217,'Div 3'!$I$221</definedName>
    <definedName name="OSRRefD20x_5" localSheetId="71">'Div 4'!$I$30,'Div 4'!$I$41,'Div 4'!$I$52,'Div 4'!$I$54,'Div 4'!$I$56,'Div 4'!$I$58,'Div 4'!$I$62,'Div 4'!$I$64,'Div 4'!$I$66,'Div 4'!$I$68,'Div 4'!$I$70,'Div 4'!$I$72,'Div 4'!$I$74,'Div 4'!$I$76,'Div 4'!$I$78,'Div 4'!$I$80,'Div 4'!$I$85,'Div 4'!$I$88,'Div 4'!$I$94,'Div 4'!$I$97,'Div 4'!$I$109,'Div 4'!$I$112,'Div 4'!$I$114,'Div 4'!$I$118</definedName>
    <definedName name="OSRRefD20x_5" localSheetId="93">'Div 5'!$I$20,'Div 5'!$I$31,'Div 5'!$I$42,'Div 5'!$I$44,'Div 5'!$I$46,'Div 5'!$I$48,'Div 5'!$I$51,'Div 5'!$I$53,'Div 5'!$I$55,'Div 5'!$I$57,'Div 5'!$I$61,'Div 5'!$I$64</definedName>
    <definedName name="OSRRefD20x_5" localSheetId="62">'Div 6'!$I$51,'Div 6'!$I$62,'Div 6'!$I$73,'Div 6'!$I$75,'Div 6'!$I$77,'Div 6'!$I$79,'Div 6'!$I$81,'Div 6'!$I$84,'Div 6'!$I$86,'Div 6'!$I$88,'Div 6'!$I$91,'Div 6'!$I$93,'Div 6'!$I$98,'Div 6'!$I$100</definedName>
    <definedName name="OSRRefD20x_5" localSheetId="2">Summary!$I$156,Summary!$I$167,Summary!$I$178,Summary!$I$180,Summary!$I$183,Summary!$I$185,Summary!$I$189,Summary!$I$192,Summary!$I$194,Summary!$I$196,Summary!$I$198,Summary!$I$201,Summary!$I$204,Summary!$I$206,Summary!$I$208,Summary!$I$211,Summary!$I$213,Summary!$I$215,Summary!$I$217,Summary!$I$222,Summary!$I$227,Summary!$I$233,Summary!$I$236,Summary!$I$248,Summary!$I$251,Summary!$I$253,Summary!$I$257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'201'!$J$18,'201'!$J$28,'201'!$J$39,'201'!$J$41,'201'!$J$43,'201'!$J$45,'201'!$J$47,'201'!$J$49,'201'!$J$51,'201'!$J$53,'201'!$J$55,'201'!$J$58,'201'!$J$61,'201'!$J$63,'201'!$J$67,'201'!$J$69</definedName>
    <definedName name="OSRRefD20x_6" localSheetId="42">'202'!$J$18,'202'!$J$28,'202'!$J$39,'202'!$J$41,'202'!$J$43,'202'!$J$46,'202'!$J$48,'202'!$J$50,'202'!$J$54,'202'!$J$56,'202'!$J$59,'202'!$J$61,'202'!$J$63</definedName>
    <definedName name="OSRRefD20x_6" localSheetId="43">'203'!$J$18,'203'!$J$29,'203'!$J$40,'203'!$J$42,'203'!$J$44,'203'!$J$46,'203'!$J$48,'203'!$J$50,'203'!$J$52,'203'!$J$56,'203'!$J$59,'203'!$J$61,'203'!$J$65,'203'!$J$67,'203'!$J$69</definedName>
    <definedName name="OSRRefD20x_6" localSheetId="44">'204'!$J$18,'204'!$J$29,'204'!$J$40,'204'!$J$42,'204'!$J$44,'204'!$J$46,'204'!$J$50,'204'!$J$52,'204'!$J$54,'204'!$J$57,'204'!$J$59</definedName>
    <definedName name="OSRRefD20x_6" localSheetId="45">'205'!$J$18,'205'!$J$28,'205'!$J$39,'205'!$J$41,'205'!$J$43,'205'!$J$46,'205'!$J$48,'205'!$J$51</definedName>
    <definedName name="OSRRefD20x_6" localSheetId="46">'206'!$J$18,'206'!$J$28,'206'!$J$39,'206'!$J$41,'206'!$J$43,'206'!$J$45,'206'!$J$47</definedName>
    <definedName name="OSRRefD20x_6" localSheetId="48">'300'!$J$122,'300'!$J$133,'300'!$J$144,'300'!$J$146,'300'!$J$149,'300'!$J$151,'300'!$J$154,'300'!$J$157,'300'!$J$159,'300'!$J$161,'300'!$J$163,'300'!$J$166,'300'!$J$169,'300'!$J$171,'300'!$J$174,'300'!$J$176,'300'!$J$178,'300'!$J$183,'300'!$J$188,'300'!$J$193,'300'!$J$196,'300'!$J$206,'300'!$J$209,'300'!$J$211,'300'!$J$215</definedName>
    <definedName name="OSRRefD20x_6" localSheetId="49">'300 &amp; 317'!$J$146,'300 &amp; 317'!$J$157,'300 &amp; 317'!$J$168,'300 &amp; 317'!$J$170,'300 &amp; 317'!$J$173,'300 &amp; 317'!$J$175,'300 &amp; 317'!$J$178,'300 &amp; 317'!$J$181,'300 &amp; 317'!$J$183,'300 &amp; 317'!$J$185,'300 &amp; 317'!$J$187,'300 &amp; 317'!$J$190,'300 &amp; 317'!$J$193,'300 &amp; 317'!$J$195,'300 &amp; 317'!$J$198,'300 &amp; 317'!$J$200,'300 &amp; 317'!$J$202,'300 &amp; 317'!$J$207,'300 &amp; 317'!$J$212,'300 &amp; 317'!$J$217,'300 &amp; 317'!$J$220,'300 &amp; 317'!$J$230,'300 &amp; 317'!$J$233,'300 &amp; 317'!$J$235,'300 &amp; 317'!$J$239</definedName>
    <definedName name="OSRRefD20x_6" localSheetId="50">'301'!$J$19,'301'!$J$30,'301'!$J$41,'301'!$J$43,'301'!$J$46,'301'!$J$48,'301'!$J$51,'301'!$J$53,'301'!$J$55,'301'!$J$57,'301'!$J$59,'301'!$J$61,'301'!$J$63,'301'!$J$65,'301'!$J$67,'301'!$J$69,'301'!$J$74,'301'!$J$78,'301'!$J$80,'301'!$J$88,'301'!$J$90,'301'!$J$92,'301'!$J$95</definedName>
    <definedName name="OSRRefD20x_6" localSheetId="51">'306'!$J$18,'306'!$J$28,'306'!$J$39,'306'!$J$41,'306'!$J$43,'306'!$J$45,'306'!$J$47,'306'!$J$49,'306'!$J$51</definedName>
    <definedName name="OSRRefD20x_6" localSheetId="53">'307'!$J$37,'307'!$J$46,'307'!$J$57,'307'!$J$59,'307'!$J$61,'307'!$J$63,'307'!$J$66,'307'!$J$69,'307'!$J$71,'307'!$J$74,'307'!$J$77,'307'!$J$81,'307'!$J$84</definedName>
    <definedName name="OSRRefD20x_6" localSheetId="54">'308'!$J$57,'308'!$J$68,'308'!$J$79,'308'!$J$81,'308'!$J$84,'308'!$J$86,'308'!$J$88,'308'!$J$91,'308'!$J$94,'308'!$J$96,'308'!$J$100,'308'!$J$103,'308'!$J$107,'308'!$J$110</definedName>
    <definedName name="OSRRefD20x_6" localSheetId="65">'309'!$J$20,'309'!$J$29,'309'!$J$40,'309'!$J$42,'309'!$J$44,'309'!$J$46,'309'!$J$48,'309'!$J$50,'309'!$J$53,'309'!$J$56,'309'!$J$59</definedName>
    <definedName name="OSRRefD20x_6" localSheetId="64">'310'!$J$28,'310'!$J$38,'310'!$J$49,'310'!$J$51,'310'!$J$53,'310'!$J$55,'310'!$J$58,'310'!$J$60,'310'!$J$62,'310'!$J$64,'310'!$J$66,'310'!$J$68,'310'!$J$70,'310'!$J$73,'310'!$J$75,'310'!$J$79,'310'!$J$86,'310'!$J$89</definedName>
    <definedName name="OSRRefD20x_6" localSheetId="72">'310 &amp; 491'!$J$34,'310 &amp; 491'!$J$44,'310 &amp; 491'!$J$55,'310 &amp; 491'!$J$57,'310 &amp; 491'!$J$59,'310 &amp; 491'!$J$61,'310 &amp; 491'!$J$65,'310 &amp; 491'!$J$67,'310 &amp; 491'!$J$69,'310 &amp; 491'!$J$72,'310 &amp; 491'!$J$74,'310 &amp; 491'!$J$76,'310 &amp; 491'!$J$78,'310 &amp; 491'!$J$80,'310 &amp; 491'!$J$82,'310 &amp; 491'!$J$87,'310 &amp; 491'!$J$90,'310 &amp; 491'!$J$96,'310 &amp; 491'!$J$98,'310 &amp; 491'!$J$109,'310 &amp; 491'!$J$112,'310 &amp; 491'!$J$114,'310 &amp; 491'!$J$116</definedName>
    <definedName name="OSRRefD20x_6" localSheetId="55">'311'!$J$56,'311'!$J$67,'311'!$J$78,'311'!$J$80,'311'!$J$83,'311'!$J$85,'311'!$J$87,'311'!$J$90,'311'!$J$93,'311'!$J$95,'311'!$J$99,'311'!$J$102,'311'!$J$106,'311'!$J$109</definedName>
    <definedName name="OSRRefD20x_6" localSheetId="66">'313'!$J$23,'313'!$J$33,'313'!$J$44,'313'!$J$46,'313'!$J$48,'313'!$J$50,'313'!$J$52</definedName>
    <definedName name="OSRRefD20x_6" localSheetId="58">'315'!$J$79,'315'!$J$89,'315'!$J$100,'315'!$J$102,'315'!$J$104,'315'!$J$106,'315'!$J$109,'315'!$J$111,'315'!$J$114,'315'!$J$116,'315'!$J$119,'315'!$J$121,'315'!$J$123,'315'!$J$127,'315'!$J$130,'315'!$J$138,'315'!$J$140</definedName>
    <definedName name="OSRRefD20x_6" localSheetId="61">'316'!$J$30,'316'!$J$40,'316'!$J$51,'316'!$J$53,'316'!$J$55,'316'!$J$57,'316'!$J$59,'316'!$J$62,'316'!$J$66,'316'!$J$68,'316'!$J$74,'316'!$J$76</definedName>
    <definedName name="OSRRefD20x_6" localSheetId="63">'317'!$J$51,'317'!$J$62,'317'!$J$73,'317'!$J$75,'317'!$J$77,'317'!$J$79,'317'!$J$81,'317'!$J$84,'317'!$J$86,'317'!$J$88,'317'!$J$91,'317'!$J$93,'317'!$J$98,'317'!$J$100</definedName>
    <definedName name="OSRRefD20x_6" localSheetId="67">'321'!$J$22,'321'!$J$32,'321'!$J$43,'321'!$J$45,'321'!$J$47,'321'!$J$49,'321'!$J$51,'321'!$J$54,'321'!$J$56,'321'!$J$59,'321'!$J$62,'321'!$J$65</definedName>
    <definedName name="OSRRefD20x_6" localSheetId="68">'322'!$J$21,'322'!$J$30,'322'!$J$41,'322'!$J$43,'322'!$J$45,'322'!$J$47,'322'!$J$49,'322'!$J$52,'322'!$J$55,'322'!$J$59,'322'!$J$61</definedName>
    <definedName name="OSRRefD20x_6" localSheetId="56">'324'!$J$25,'324'!$J$34</definedName>
    <definedName name="OSRRefD20x_6" localSheetId="69">'325'!$J$20,'325'!$J$29,'325'!$J$40,'325'!$J$42,'325'!$J$44,'325'!$J$46,'325'!$J$49,'325'!$J$51,'325'!$J$53,'325'!$J$55,'325'!$J$57,'325'!$J$60,'325'!$J$63,'325'!$J$69,'325'!$J$72</definedName>
    <definedName name="OSRRefD20x_6" localSheetId="59">'326'!$J$46,'326'!$J$56,'326'!$J$67,'326'!$J$69,'326'!$J$71,'326'!$J$73,'326'!$J$75,'326'!$J$77,'326'!$J$79,'326'!$J$81,'326'!$J$83,'326'!$J$85,'326'!$J$87,'326'!$J$91,'326'!$J$95,'326'!$J$98,'326'!$J$105,'326'!$J$108,'326'!$J$110,'326'!$J$113</definedName>
    <definedName name="OSRRefD20x_6" localSheetId="70">'327'!$J$22,'327'!$J$24</definedName>
    <definedName name="OSRRefD20x_6" localSheetId="52">'330'!$J$40,'330'!$J$50,'330'!$J$61,'330'!$J$63,'330'!$J$65,'330'!$J$67,'330'!$J$70,'330'!$J$73,'330'!$J$75,'330'!$J$78,'330'!$J$81,'330'!$J$85,'330'!$J$88</definedName>
    <definedName name="OSRRefD20x_6" localSheetId="57">'331'!$J$80,'331'!$J$90,'331'!$J$101,'331'!$J$103,'331'!$J$105,'331'!$J$107,'331'!$J$110,'331'!$J$112,'331'!$J$115,'331'!$J$117,'331'!$J$119,'331'!$J$122,'331'!$J$124,'331'!$J$126,'331'!$J$130,'331'!$J$134,'331'!$J$138,'331'!$J$141,'331'!$J$150,'331'!$J$153,'331'!$J$155,'331'!$J$158</definedName>
    <definedName name="OSRRefD20x_6" localSheetId="60">'332'!$J$32,'332'!$J$42,'332'!$J$53,'332'!$J$55,'332'!$J$57,'332'!$J$59,'332'!$J$61,'332'!$J$64,'332'!$J$68,'332'!$J$70,'332'!$J$76,'332'!$J$78</definedName>
    <definedName name="OSRRefD20x_6" localSheetId="74">'405'!$J$22,'405'!$J$31,'405'!$J$42,'405'!$J$44,'405'!$J$46,'405'!$J$49,'405'!$J$51,'405'!$J$53,'405'!$J$55,'405'!$J$57,'405'!$J$60,'405'!$J$62,'405'!$J$67,'405'!$J$69,'405'!$J$78,'405'!$J$80</definedName>
    <definedName name="OSRRefD20x_6" localSheetId="75">'406'!$J$18,'406'!$J$20,'406'!$J$22,'406'!$J$24,'406'!$J$26</definedName>
    <definedName name="OSRRefD20x_6" localSheetId="76">'411'!$J$18,'411'!$J$28,'411'!$J$39,'411'!$J$41,'411'!$J$43,'411'!$J$46,'411'!$J$48,'411'!$J$50,'411'!$J$52,'411'!$J$54,'411'!$J$59,'411'!$J$64,'411'!$J$66,'411'!$J$73,'411'!$J$75,'411'!$J$77</definedName>
    <definedName name="OSRRefD20x_6" localSheetId="77">'412'!$J$20,'412'!$J$29,'412'!$J$40,'412'!$J$42,'412'!$J$44,'412'!$J$47,'412'!$J$49,'412'!$J$51,'412'!$J$53,'412'!$J$56,'412'!$J$58,'412'!$J$63,'412'!$J$68,'412'!$J$71</definedName>
    <definedName name="OSRRefD20x_6" localSheetId="78">'413'!$J$21,'413'!$J$31,'413'!$J$42,'413'!$J$44,'413'!$J$46,'413'!$J$48,'413'!$J$50,'413'!$J$53,'413'!$J$56,'413'!$J$59</definedName>
    <definedName name="OSRRefD20x_6" localSheetId="79">'414'!$J$23,'414'!$J$33,'414'!$J$44,'414'!$J$46,'414'!$J$48,'414'!$J$50,'414'!$J$52,'414'!$J$54,'414'!$J$56,'414'!$J$59,'414'!$J$61,'414'!$J$63,'414'!$J$65,'414'!$J$69</definedName>
    <definedName name="OSRRefD20x_6" localSheetId="80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1">'418'!$J$22,'418'!$J$31,'418'!$J$42,'418'!$J$44,'418'!$J$46,'418'!$J$49,'418'!$J$51,'418'!$J$53,'418'!$J$55,'418'!$J$58,'418'!$J$61,'418'!$J$63,'418'!$J$70,'418'!$J$73</definedName>
    <definedName name="OSRRefD20x_6" localSheetId="82">'420'!$J$20,'420'!$J$22</definedName>
    <definedName name="OSRRefD20x_6" localSheetId="83">'423'!$J$18,'423'!$J$27,'423'!$J$38,'423'!$J$40,'423'!$J$43,'423'!$J$45,'423'!$J$47</definedName>
    <definedName name="OSRRefD20x_6" localSheetId="84">'424'!$J$18,'424'!$J$20,'424'!$J$22,'424'!$J$24</definedName>
    <definedName name="OSRRefD20x_6" localSheetId="85">'425'!$J$19,'425'!$J$25,'425'!$J$27,'425'!$J$29,'425'!$J$31,'425'!$J$34</definedName>
    <definedName name="OSRRefD20x_6" localSheetId="88">'430'!$J$18,'430'!$J$28,'430'!$J$39,'430'!$J$41,'430'!$J$43,'430'!$J$47,'430'!$J$50,'430'!$J$52</definedName>
    <definedName name="OSRRefD20x_6" localSheetId="89">'433'!$J$25,'433'!$J$36,'433'!$J$47,'433'!$J$49,'433'!$J$51,'433'!$J$53,'433'!$J$55,'433'!$J$57,'433'!$J$59,'433'!$J$61,'433'!$J$63,'433'!$J$65,'433'!$J$68,'433'!$J$73,'433'!$J$81,'433'!$J$83</definedName>
    <definedName name="OSRRefD20x_6" localSheetId="90">'435'!$J$18</definedName>
    <definedName name="OSRRefD20x_6" localSheetId="91">'444'!$J$25,'444'!$J$36,'444'!$J$47,'444'!$J$49,'444'!$J$51,'444'!$J$53,'444'!$J$55,'444'!$J$57,'444'!$J$59,'444'!$J$61,'444'!$J$63,'444'!$J$65,'444'!$J$68,'444'!$J$73,'444'!$J$75,'444'!$J$84,'444'!$J$87,'444'!$J$89</definedName>
    <definedName name="OSRRefD20x_6" localSheetId="92">'450'!$J$21,'450'!$J$32,'450'!$J$43,'450'!$J$45,'450'!$J$47,'450'!$J$49,'450'!$J$51,'450'!$J$53,'450'!$J$55,'450'!$J$57,'450'!$J$59,'450'!$J$61,'450'!$J$63,'450'!$J$65,'450'!$J$69,'450'!$J$75,'450'!$J$78</definedName>
    <definedName name="OSRRefD20x_6" localSheetId="73">'491'!$J$28,'491'!$J$38,'491'!$J$49,'491'!$J$51,'491'!$J$53,'491'!$J$55,'491'!$J$59,'491'!$J$61,'491'!$J$63,'491'!$J$65,'491'!$J$67,'491'!$J$69,'491'!$J$71,'491'!$J$73,'491'!$J$75,'491'!$J$80,'491'!$J$83,'491'!$J$89,'491'!$J$91,'491'!$J$102,'491'!$J$105,'491'!$J$107,'491'!$J$109</definedName>
    <definedName name="OSRRefD20x_6" localSheetId="87">'492'!$J$25,'492'!$J$36,'492'!$J$47,'492'!$J$49,'492'!$J$51,'492'!$J$53,'492'!$J$55,'492'!$J$57,'492'!$J$59,'492'!$J$61,'492'!$J$63,'492'!$J$65,'492'!$J$67,'492'!$J$71,'492'!$J$76,'492'!$J$78,'492'!$J$89,'492'!$J$92,'492'!$J$94</definedName>
    <definedName name="OSRRefD20x_6" localSheetId="94">'501'!$J$20,'501'!$J$31,'501'!$J$42,'501'!$J$44,'501'!$J$46,'501'!$J$48,'501'!$J$51,'501'!$J$53,'501'!$J$55,'501'!$J$57,'501'!$J$61,'501'!$J$64</definedName>
    <definedName name="OSRRefD20x_6" localSheetId="39">'Div 2'!$J$18,'Div 2'!$J$30,'Div 2'!$J$41,'Div 2'!$J$43,'Div 2'!$J$45,'Div 2'!$J$47,'Div 2'!$J$49,'Div 2'!$J$51,'Div 2'!$J$53,'Div 2'!$J$55,'Div 2'!$J$58,'Div 2'!$J$60,'Div 2'!$J$62,'Div 2'!$J$67,'Div 2'!$J$72,'Div 2'!$J$75,'Div 2'!$J$78,'Div 2'!$J$83,'Div 2'!$J$86,'Div 2'!$J$88</definedName>
    <definedName name="OSRRefD20x_6" localSheetId="47">'Div 3'!$J$126,'Div 3'!$J$137,'Div 3'!$J$148,'Div 3'!$J$150,'Div 3'!$J$153,'Div 3'!$J$155,'Div 3'!$J$158,'Div 3'!$J$161,'Div 3'!$J$163,'Div 3'!$J$165,'Div 3'!$J$167,'Div 3'!$J$170,'Div 3'!$J$173,'Div 3'!$J$175,'Div 3'!$J$177,'Div 3'!$J$180,'Div 3'!$J$182,'Div 3'!$J$184,'Div 3'!$J$189,'Div 3'!$J$194,'Div 3'!$J$199,'Div 3'!$J$202,'Div 3'!$J$212,'Div 3'!$J$215,'Div 3'!$J$217,'Div 3'!$J$221</definedName>
    <definedName name="OSRRefD20x_6" localSheetId="71">'Div 4'!$J$30,'Div 4'!$J$41,'Div 4'!$J$52,'Div 4'!$J$54,'Div 4'!$J$56,'Div 4'!$J$58,'Div 4'!$J$62,'Div 4'!$J$64,'Div 4'!$J$66,'Div 4'!$J$68,'Div 4'!$J$70,'Div 4'!$J$72,'Div 4'!$J$74,'Div 4'!$J$76,'Div 4'!$J$78,'Div 4'!$J$80,'Div 4'!$J$85,'Div 4'!$J$88,'Div 4'!$J$94,'Div 4'!$J$97,'Div 4'!$J$109,'Div 4'!$J$112,'Div 4'!$J$114,'Div 4'!$J$118</definedName>
    <definedName name="OSRRefD20x_6" localSheetId="93">'Div 5'!$J$20,'Div 5'!$J$31,'Div 5'!$J$42,'Div 5'!$J$44,'Div 5'!$J$46,'Div 5'!$J$48,'Div 5'!$J$51,'Div 5'!$J$53,'Div 5'!$J$55,'Div 5'!$J$57,'Div 5'!$J$61,'Div 5'!$J$64</definedName>
    <definedName name="OSRRefD20x_6" localSheetId="62">'Div 6'!$J$51,'Div 6'!$J$62,'Div 6'!$J$73,'Div 6'!$J$75,'Div 6'!$J$77,'Div 6'!$J$79,'Div 6'!$J$81,'Div 6'!$J$84,'Div 6'!$J$86,'Div 6'!$J$88,'Div 6'!$J$91,'Div 6'!$J$93,'Div 6'!$J$98,'Div 6'!$J$100</definedName>
    <definedName name="OSRRefD20x_6" localSheetId="2">Summary!$J$156,Summary!$J$167,Summary!$J$178,Summary!$J$180,Summary!$J$183,Summary!$J$185,Summary!$J$189,Summary!$J$192,Summary!$J$194,Summary!$J$196,Summary!$J$198,Summary!$J$201,Summary!$J$204,Summary!$J$206,Summary!$J$208,Summary!$J$211,Summary!$J$213,Summary!$J$215,Summary!$J$217,Summary!$J$222,Summary!$J$227,Summary!$J$233,Summary!$J$236,Summary!$J$248,Summary!$J$251,Summary!$J$253,Summary!$J$257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'201'!$K$18,'201'!$K$28,'201'!$K$39,'201'!$K$41,'201'!$K$43,'201'!$K$45,'201'!$K$47,'201'!$K$49,'201'!$K$51,'201'!$K$53,'201'!$K$55,'201'!$K$58,'201'!$K$61,'201'!$K$63,'201'!$K$67,'201'!$K$69</definedName>
    <definedName name="OSRRefD20x_7" localSheetId="42">'202'!$K$18,'202'!$K$28,'202'!$K$39,'202'!$K$41,'202'!$K$43,'202'!$K$46,'202'!$K$48,'202'!$K$50,'202'!$K$54,'202'!$K$56,'202'!$K$59,'202'!$K$61,'202'!$K$63</definedName>
    <definedName name="OSRRefD20x_7" localSheetId="43">'203'!$K$18,'203'!$K$29,'203'!$K$40,'203'!$K$42,'203'!$K$44,'203'!$K$46,'203'!$K$48,'203'!$K$50,'203'!$K$52,'203'!$K$56,'203'!$K$59,'203'!$K$61,'203'!$K$65,'203'!$K$67,'203'!$K$69</definedName>
    <definedName name="OSRRefD20x_7" localSheetId="44">'204'!$K$18,'204'!$K$29,'204'!$K$40,'204'!$K$42,'204'!$K$44,'204'!$K$46,'204'!$K$50,'204'!$K$52,'204'!$K$54,'204'!$K$57,'204'!$K$59</definedName>
    <definedName name="OSRRefD20x_7" localSheetId="45">'205'!$K$18,'205'!$K$28,'205'!$K$39,'205'!$K$41,'205'!$K$43,'205'!$K$46,'205'!$K$48,'205'!$K$51</definedName>
    <definedName name="OSRRefD20x_7" localSheetId="46">'206'!$K$18,'206'!$K$28,'206'!$K$39,'206'!$K$41,'206'!$K$43,'206'!$K$45,'206'!$K$47</definedName>
    <definedName name="OSRRefD20x_7" localSheetId="48">'300'!$K$122,'300'!$K$133,'300'!$K$144,'300'!$K$146,'300'!$K$149,'300'!$K$151,'300'!$K$154,'300'!$K$157,'300'!$K$159,'300'!$K$161,'300'!$K$163,'300'!$K$166,'300'!$K$169,'300'!$K$171,'300'!$K$174,'300'!$K$176,'300'!$K$178,'300'!$K$183,'300'!$K$188,'300'!$K$193,'300'!$K$196,'300'!$K$206,'300'!$K$209,'300'!$K$211,'300'!$K$215</definedName>
    <definedName name="OSRRefD20x_7" localSheetId="49">'300 &amp; 317'!$K$146,'300 &amp; 317'!$K$157,'300 &amp; 317'!$K$168,'300 &amp; 317'!$K$170,'300 &amp; 317'!$K$173,'300 &amp; 317'!$K$175,'300 &amp; 317'!$K$178,'300 &amp; 317'!$K$181,'300 &amp; 317'!$K$183,'300 &amp; 317'!$K$185,'300 &amp; 317'!$K$187,'300 &amp; 317'!$K$190,'300 &amp; 317'!$K$193,'300 &amp; 317'!$K$195,'300 &amp; 317'!$K$198,'300 &amp; 317'!$K$200,'300 &amp; 317'!$K$202,'300 &amp; 317'!$K$207,'300 &amp; 317'!$K$212,'300 &amp; 317'!$K$217,'300 &amp; 317'!$K$220,'300 &amp; 317'!$K$230,'300 &amp; 317'!$K$233,'300 &amp; 317'!$K$235,'300 &amp; 317'!$K$239</definedName>
    <definedName name="OSRRefD20x_7" localSheetId="50">'301'!$K$19,'301'!$K$30,'301'!$K$41,'301'!$K$43,'301'!$K$46,'301'!$K$48,'301'!$K$51,'301'!$K$53,'301'!$K$55,'301'!$K$57,'301'!$K$59,'301'!$K$61,'301'!$K$63,'301'!$K$65,'301'!$K$67,'301'!$K$69,'301'!$K$74,'301'!$K$78,'301'!$K$80,'301'!$K$88,'301'!$K$90,'301'!$K$92,'301'!$K$95</definedName>
    <definedName name="OSRRefD20x_7" localSheetId="51">'306'!$K$18,'306'!$K$28,'306'!$K$39,'306'!$K$41,'306'!$K$43,'306'!$K$45,'306'!$K$47,'306'!$K$49,'306'!$K$51</definedName>
    <definedName name="OSRRefD20x_7" localSheetId="53">'307'!$K$37,'307'!$K$46,'307'!$K$57,'307'!$K$59,'307'!$K$61,'307'!$K$63,'307'!$K$66,'307'!$K$69,'307'!$K$71,'307'!$K$74,'307'!$K$77,'307'!$K$81,'307'!$K$84</definedName>
    <definedName name="OSRRefD20x_7" localSheetId="54">'308'!$K$57,'308'!$K$68,'308'!$K$79,'308'!$K$81,'308'!$K$84,'308'!$K$86,'308'!$K$88,'308'!$K$91,'308'!$K$94,'308'!$K$96,'308'!$K$100,'308'!$K$103,'308'!$K$107,'308'!$K$110</definedName>
    <definedName name="OSRRefD20x_7" localSheetId="65">'309'!$K$20,'309'!$K$29,'309'!$K$40,'309'!$K$42,'309'!$K$44,'309'!$K$46,'309'!$K$48,'309'!$K$50,'309'!$K$53,'309'!$K$56,'309'!$K$59</definedName>
    <definedName name="OSRRefD20x_7" localSheetId="64">'310'!$K$28,'310'!$K$38,'310'!$K$49,'310'!$K$51,'310'!$K$53,'310'!$K$55,'310'!$K$58,'310'!$K$60,'310'!$K$62,'310'!$K$64,'310'!$K$66,'310'!$K$68,'310'!$K$70,'310'!$K$73,'310'!$K$75,'310'!$K$79,'310'!$K$86,'310'!$K$89</definedName>
    <definedName name="OSRRefD20x_7" localSheetId="72">'310 &amp; 491'!$K$34,'310 &amp; 491'!$K$44,'310 &amp; 491'!$K$55,'310 &amp; 491'!$K$57,'310 &amp; 491'!$K$59,'310 &amp; 491'!$K$61,'310 &amp; 491'!$K$65,'310 &amp; 491'!$K$67,'310 &amp; 491'!$K$69,'310 &amp; 491'!$K$72,'310 &amp; 491'!$K$74,'310 &amp; 491'!$K$76,'310 &amp; 491'!$K$78,'310 &amp; 491'!$K$80,'310 &amp; 491'!$K$82,'310 &amp; 491'!$K$87,'310 &amp; 491'!$K$90,'310 &amp; 491'!$K$96,'310 &amp; 491'!$K$98,'310 &amp; 491'!$K$109,'310 &amp; 491'!$K$112,'310 &amp; 491'!$K$114,'310 &amp; 491'!$K$116</definedName>
    <definedName name="OSRRefD20x_7" localSheetId="55">'311'!$K$56,'311'!$K$67,'311'!$K$78,'311'!$K$80,'311'!$K$83,'311'!$K$85,'311'!$K$87,'311'!$K$90,'311'!$K$93,'311'!$K$95,'311'!$K$99,'311'!$K$102,'311'!$K$106,'311'!$K$109</definedName>
    <definedName name="OSRRefD20x_7" localSheetId="66">'313'!$K$23,'313'!$K$33,'313'!$K$44,'313'!$K$46,'313'!$K$48,'313'!$K$50,'313'!$K$52</definedName>
    <definedName name="OSRRefD20x_7" localSheetId="58">'315'!$K$79,'315'!$K$89,'315'!$K$100,'315'!$K$102,'315'!$K$104,'315'!$K$106,'315'!$K$109,'315'!$K$111,'315'!$K$114,'315'!$K$116,'315'!$K$119,'315'!$K$121,'315'!$K$123,'315'!$K$127,'315'!$K$130,'315'!$K$138,'315'!$K$140</definedName>
    <definedName name="OSRRefD20x_7" localSheetId="61">'316'!$K$30,'316'!$K$40,'316'!$K$51,'316'!$K$53,'316'!$K$55,'316'!$K$57,'316'!$K$59,'316'!$K$62,'316'!$K$66,'316'!$K$68,'316'!$K$74,'316'!$K$76</definedName>
    <definedName name="OSRRefD20x_7" localSheetId="63">'317'!$K$51,'317'!$K$62,'317'!$K$73,'317'!$K$75,'317'!$K$77,'317'!$K$79,'317'!$K$81,'317'!$K$84,'317'!$K$86,'317'!$K$88,'317'!$K$91,'317'!$K$93,'317'!$K$98,'317'!$K$100</definedName>
    <definedName name="OSRRefD20x_7" localSheetId="67">'321'!$K$22,'321'!$K$32,'321'!$K$43,'321'!$K$45,'321'!$K$47,'321'!$K$49,'321'!$K$51,'321'!$K$54,'321'!$K$56,'321'!$K$59,'321'!$K$62,'321'!$K$65</definedName>
    <definedName name="OSRRefD20x_7" localSheetId="68">'322'!$K$21,'322'!$K$30,'322'!$K$41,'322'!$K$43,'322'!$K$45,'322'!$K$47,'322'!$K$49,'322'!$K$52,'322'!$K$55,'322'!$K$59,'322'!$K$61</definedName>
    <definedName name="OSRRefD20x_7" localSheetId="56">'324'!$K$25,'324'!$K$34</definedName>
    <definedName name="OSRRefD20x_7" localSheetId="69">'325'!$K$20,'325'!$K$29,'325'!$K$40,'325'!$K$42,'325'!$K$44,'325'!$K$46,'325'!$K$49,'325'!$K$51,'325'!$K$53,'325'!$K$55,'325'!$K$57,'325'!$K$60,'325'!$K$63,'325'!$K$69,'325'!$K$72</definedName>
    <definedName name="OSRRefD20x_7" localSheetId="59">'326'!$K$46,'326'!$K$56,'326'!$K$67,'326'!$K$69,'326'!$K$71,'326'!$K$73,'326'!$K$75,'326'!$K$77,'326'!$K$79,'326'!$K$81,'326'!$K$83,'326'!$K$85,'326'!$K$87,'326'!$K$91,'326'!$K$95,'326'!$K$98,'326'!$K$105,'326'!$K$108,'326'!$K$110,'326'!$K$113</definedName>
    <definedName name="OSRRefD20x_7" localSheetId="70">'327'!$K$22,'327'!$K$24</definedName>
    <definedName name="OSRRefD20x_7" localSheetId="52">'330'!$K$40,'330'!$K$50,'330'!$K$61,'330'!$K$63,'330'!$K$65,'330'!$K$67,'330'!$K$70,'330'!$K$73,'330'!$K$75,'330'!$K$78,'330'!$K$81,'330'!$K$85,'330'!$K$88</definedName>
    <definedName name="OSRRefD20x_7" localSheetId="57">'331'!$K$80,'331'!$K$90,'331'!$K$101,'331'!$K$103,'331'!$K$105,'331'!$K$107,'331'!$K$110,'331'!$K$112,'331'!$K$115,'331'!$K$117,'331'!$K$119,'331'!$K$122,'331'!$K$124,'331'!$K$126,'331'!$K$130,'331'!$K$134,'331'!$K$138,'331'!$K$141,'331'!$K$150,'331'!$K$153,'331'!$K$155,'331'!$K$158</definedName>
    <definedName name="OSRRefD20x_7" localSheetId="60">'332'!$K$32,'332'!$K$42,'332'!$K$53,'332'!$K$55,'332'!$K$57,'332'!$K$59,'332'!$K$61,'332'!$K$64,'332'!$K$68,'332'!$K$70,'332'!$K$76,'332'!$K$78</definedName>
    <definedName name="OSRRefD20x_7" localSheetId="74">'405'!$K$22,'405'!$K$31,'405'!$K$42,'405'!$K$44,'405'!$K$46,'405'!$K$49,'405'!$K$51,'405'!$K$53,'405'!$K$55,'405'!$K$57,'405'!$K$60,'405'!$K$62,'405'!$K$67,'405'!$K$69,'405'!$K$78,'405'!$K$80</definedName>
    <definedName name="OSRRefD20x_7" localSheetId="75">'406'!$K$18,'406'!$K$20,'406'!$K$22,'406'!$K$24,'406'!$K$26</definedName>
    <definedName name="OSRRefD20x_7" localSheetId="76">'411'!$K$18,'411'!$K$28,'411'!$K$39,'411'!$K$41,'411'!$K$43,'411'!$K$46,'411'!$K$48,'411'!$K$50,'411'!$K$52,'411'!$K$54,'411'!$K$59,'411'!$K$64,'411'!$K$66,'411'!$K$73,'411'!$K$75,'411'!$K$77</definedName>
    <definedName name="OSRRefD20x_7" localSheetId="77">'412'!$K$20,'412'!$K$29,'412'!$K$40,'412'!$K$42,'412'!$K$44,'412'!$K$47,'412'!$K$49,'412'!$K$51,'412'!$K$53,'412'!$K$56,'412'!$K$58,'412'!$K$63,'412'!$K$68,'412'!$K$71</definedName>
    <definedName name="OSRRefD20x_7" localSheetId="78">'413'!$K$21,'413'!$K$31,'413'!$K$42,'413'!$K$44,'413'!$K$46,'413'!$K$48,'413'!$K$50,'413'!$K$53,'413'!$K$56,'413'!$K$59</definedName>
    <definedName name="OSRRefD20x_7" localSheetId="79">'414'!$K$23,'414'!$K$33,'414'!$K$44,'414'!$K$46,'414'!$K$48,'414'!$K$50,'414'!$K$52,'414'!$K$54,'414'!$K$56,'414'!$K$59,'414'!$K$61,'414'!$K$63,'414'!$K$65,'414'!$K$69</definedName>
    <definedName name="OSRRefD20x_7" localSheetId="80">'415'!$K$25,'415'!$K$35,'415'!$K$46,'415'!$K$48,'415'!$K$50,'415'!$K$52,'415'!$K$55,'415'!$K$57,'415'!$K$59,'415'!$K$61,'415'!$K$63,'415'!$K$65,'415'!$K$68,'415'!$K$73,'415'!$K$75,'415'!$K$82,'415'!$K$85,'415'!$K$87</definedName>
    <definedName name="OSRRefD20x_7" localSheetId="81">'418'!$K$22,'418'!$K$31,'418'!$K$42,'418'!$K$44,'418'!$K$46,'418'!$K$49,'418'!$K$51,'418'!$K$53,'418'!$K$55,'418'!$K$58,'418'!$K$61,'418'!$K$63,'418'!$K$70,'418'!$K$73</definedName>
    <definedName name="OSRRefD20x_7" localSheetId="82">'420'!$K$20,'420'!$K$22</definedName>
    <definedName name="OSRRefD20x_7" localSheetId="83">'423'!$K$18,'423'!$K$27,'423'!$K$38,'423'!$K$40,'423'!$K$43,'423'!$K$45,'423'!$K$47</definedName>
    <definedName name="OSRRefD20x_7" localSheetId="84">'424'!$K$18,'424'!$K$20,'424'!$K$22,'424'!$K$24</definedName>
    <definedName name="OSRRefD20x_7" localSheetId="85">'425'!$K$19,'425'!$K$25,'425'!$K$27,'425'!$K$29,'425'!$K$31,'425'!$K$34</definedName>
    <definedName name="OSRRefD20x_7" localSheetId="88">'430'!$K$18,'430'!$K$28,'430'!$K$39,'430'!$K$41,'430'!$K$43,'430'!$K$47,'430'!$K$50,'430'!$K$52</definedName>
    <definedName name="OSRRefD20x_7" localSheetId="89">'433'!$K$25,'433'!$K$36,'433'!$K$47,'433'!$K$49,'433'!$K$51,'433'!$K$53,'433'!$K$55,'433'!$K$57,'433'!$K$59,'433'!$K$61,'433'!$K$63,'433'!$K$65,'433'!$K$68,'433'!$K$73,'433'!$K$81,'433'!$K$83</definedName>
    <definedName name="OSRRefD20x_7" localSheetId="90">'435'!$K$18</definedName>
    <definedName name="OSRRefD20x_7" localSheetId="91">'444'!$K$25,'444'!$K$36,'444'!$K$47,'444'!$K$49,'444'!$K$51,'444'!$K$53,'444'!$K$55,'444'!$K$57,'444'!$K$59,'444'!$K$61,'444'!$K$63,'444'!$K$65,'444'!$K$68,'444'!$K$73,'444'!$K$75,'444'!$K$84,'444'!$K$87,'444'!$K$89</definedName>
    <definedName name="OSRRefD20x_7" localSheetId="92">'450'!$K$21,'450'!$K$32,'450'!$K$43,'450'!$K$45,'450'!$K$47,'450'!$K$49,'450'!$K$51,'450'!$K$53,'450'!$K$55,'450'!$K$57,'450'!$K$59,'450'!$K$61,'450'!$K$63,'450'!$K$65,'450'!$K$69,'450'!$K$75,'450'!$K$78</definedName>
    <definedName name="OSRRefD20x_7" localSheetId="73">'491'!$K$28,'491'!$K$38,'491'!$K$49,'491'!$K$51,'491'!$K$53,'491'!$K$55,'491'!$K$59,'491'!$K$61,'491'!$K$63,'491'!$K$65,'491'!$K$67,'491'!$K$69,'491'!$K$71,'491'!$K$73,'491'!$K$75,'491'!$K$80,'491'!$K$83,'491'!$K$89,'491'!$K$91,'491'!$K$102,'491'!$K$105,'491'!$K$107,'491'!$K$109</definedName>
    <definedName name="OSRRefD20x_7" localSheetId="87">'492'!$K$25,'492'!$K$36,'492'!$K$47,'492'!$K$49,'492'!$K$51,'492'!$K$53,'492'!$K$55,'492'!$K$57,'492'!$K$59,'492'!$K$61,'492'!$K$63,'492'!$K$65,'492'!$K$67,'492'!$K$71,'492'!$K$76,'492'!$K$78,'492'!$K$89,'492'!$K$92,'492'!$K$94</definedName>
    <definedName name="OSRRefD20x_7" localSheetId="94">'501'!$K$20,'501'!$K$31,'501'!$K$42,'501'!$K$44,'501'!$K$46,'501'!$K$48,'501'!$K$51,'501'!$K$53,'501'!$K$55,'501'!$K$57,'501'!$K$61,'501'!$K$64</definedName>
    <definedName name="OSRRefD20x_7" localSheetId="39">'Div 2'!$K$18,'Div 2'!$K$30,'Div 2'!$K$41,'Div 2'!$K$43,'Div 2'!$K$45,'Div 2'!$K$47,'Div 2'!$K$49,'Div 2'!$K$51,'Div 2'!$K$53,'Div 2'!$K$55,'Div 2'!$K$58,'Div 2'!$K$60,'Div 2'!$K$62,'Div 2'!$K$67,'Div 2'!$K$72,'Div 2'!$K$75,'Div 2'!$K$78,'Div 2'!$K$83,'Div 2'!$K$86,'Div 2'!$K$88</definedName>
    <definedName name="OSRRefD20x_7" localSheetId="47">'Div 3'!$K$126,'Div 3'!$K$137,'Div 3'!$K$148,'Div 3'!$K$150,'Div 3'!$K$153,'Div 3'!$K$155,'Div 3'!$K$158,'Div 3'!$K$161,'Div 3'!$K$163,'Div 3'!$K$165,'Div 3'!$K$167,'Div 3'!$K$170,'Div 3'!$K$173,'Div 3'!$K$175,'Div 3'!$K$177,'Div 3'!$K$180,'Div 3'!$K$182,'Div 3'!$K$184,'Div 3'!$K$189,'Div 3'!$K$194,'Div 3'!$K$199,'Div 3'!$K$202,'Div 3'!$K$212,'Div 3'!$K$215,'Div 3'!$K$217,'Div 3'!$K$221</definedName>
    <definedName name="OSRRefD20x_7" localSheetId="71">'Div 4'!$K$30,'Div 4'!$K$41,'Div 4'!$K$52,'Div 4'!$K$54,'Div 4'!$K$56,'Div 4'!$K$58,'Div 4'!$K$62,'Div 4'!$K$64,'Div 4'!$K$66,'Div 4'!$K$68,'Div 4'!$K$70,'Div 4'!$K$72,'Div 4'!$K$74,'Div 4'!$K$76,'Div 4'!$K$78,'Div 4'!$K$80,'Div 4'!$K$85,'Div 4'!$K$88,'Div 4'!$K$94,'Div 4'!$K$97,'Div 4'!$K$109,'Div 4'!$K$112,'Div 4'!$K$114,'Div 4'!$K$118</definedName>
    <definedName name="OSRRefD20x_7" localSheetId="93">'Div 5'!$K$20,'Div 5'!$K$31,'Div 5'!$K$42,'Div 5'!$K$44,'Div 5'!$K$46,'Div 5'!$K$48,'Div 5'!$K$51,'Div 5'!$K$53,'Div 5'!$K$55,'Div 5'!$K$57,'Div 5'!$K$61,'Div 5'!$K$64</definedName>
    <definedName name="OSRRefD20x_7" localSheetId="62">'Div 6'!$K$51,'Div 6'!$K$62,'Div 6'!$K$73,'Div 6'!$K$75,'Div 6'!$K$77,'Div 6'!$K$79,'Div 6'!$K$81,'Div 6'!$K$84,'Div 6'!$K$86,'Div 6'!$K$88,'Div 6'!$K$91,'Div 6'!$K$93,'Div 6'!$K$98,'Div 6'!$K$100</definedName>
    <definedName name="OSRRefD20x_7" localSheetId="2">Summary!$K$156,Summary!$K$167,Summary!$K$178,Summary!$K$180,Summary!$K$183,Summary!$K$185,Summary!$K$189,Summary!$K$192,Summary!$K$194,Summary!$K$196,Summary!$K$198,Summary!$K$201,Summary!$K$204,Summary!$K$206,Summary!$K$208,Summary!$K$211,Summary!$K$213,Summary!$K$215,Summary!$K$217,Summary!$K$222,Summary!$K$227,Summary!$K$233,Summary!$K$236,Summary!$K$248,Summary!$K$251,Summary!$K$253,Summary!$K$257</definedName>
    <definedName name="OSRRefD20x_8" localSheetId="40">'200'!$L$18,'200'!$L$20,'200'!$L$22,'200'!$L$24</definedName>
    <definedName name="OSRRefD20x_8" localSheetId="41">'201'!$L$18,'201'!$L$28,'201'!$L$39,'201'!$L$41,'201'!$L$43,'201'!$L$45,'201'!$L$47,'201'!$L$49,'201'!$L$51,'201'!$L$53,'201'!$L$55,'201'!$L$58,'201'!$L$61,'201'!$L$63,'201'!$L$67,'201'!$L$69</definedName>
    <definedName name="OSRRefD20x_8" localSheetId="42">'202'!$L$18,'202'!$L$28,'202'!$L$39,'202'!$L$41,'202'!$L$43,'202'!$L$46,'202'!$L$48,'202'!$L$50,'202'!$L$54,'202'!$L$56,'202'!$L$59,'202'!$L$61,'202'!$L$63</definedName>
    <definedName name="OSRRefD20x_8" localSheetId="43">'203'!$L$18,'203'!$L$29,'203'!$L$40,'203'!$L$42,'203'!$L$44,'203'!$L$46,'203'!$L$48,'203'!$L$50,'203'!$L$52,'203'!$L$56,'203'!$L$59,'203'!$L$61,'203'!$L$65,'203'!$L$67,'203'!$L$69</definedName>
    <definedName name="OSRRefD20x_8" localSheetId="44">'204'!$L$18,'204'!$L$29,'204'!$L$40,'204'!$L$42,'204'!$L$44,'204'!$L$46,'204'!$L$50,'204'!$L$52,'204'!$L$54,'204'!$L$57,'204'!$L$59</definedName>
    <definedName name="OSRRefD20x_8" localSheetId="45">'205'!$L$18,'205'!$L$28,'205'!$L$39,'205'!$L$41,'205'!$L$43,'205'!$L$46,'205'!$L$48,'205'!$L$51</definedName>
    <definedName name="OSRRefD20x_8" localSheetId="46">'206'!$L$18,'206'!$L$28,'206'!$L$39,'206'!$L$41,'206'!$L$43,'206'!$L$45,'206'!$L$47</definedName>
    <definedName name="OSRRefD20x_8" localSheetId="48">'300'!$L$122,'300'!$L$133,'300'!$L$144,'300'!$L$146,'300'!$L$149,'300'!$L$151,'300'!$L$154,'300'!$L$157,'300'!$L$159,'300'!$L$161,'300'!$L$163,'300'!$L$166,'300'!$L$169,'300'!$L$171,'300'!$L$174,'300'!$L$176,'300'!$L$178,'300'!$L$183,'300'!$L$188,'300'!$L$193,'300'!$L$196,'300'!$L$206,'300'!$L$209,'300'!$L$211,'300'!$L$215</definedName>
    <definedName name="OSRRefD20x_8" localSheetId="49">'300 &amp; 317'!$L$146,'300 &amp; 317'!$L$157,'300 &amp; 317'!$L$168,'300 &amp; 317'!$L$170,'300 &amp; 317'!$L$173,'300 &amp; 317'!$L$175,'300 &amp; 317'!$L$178,'300 &amp; 317'!$L$181,'300 &amp; 317'!$L$183,'300 &amp; 317'!$L$185,'300 &amp; 317'!$L$187,'300 &amp; 317'!$L$190,'300 &amp; 317'!$L$193,'300 &amp; 317'!$L$195,'300 &amp; 317'!$L$198,'300 &amp; 317'!$L$200,'300 &amp; 317'!$L$202,'300 &amp; 317'!$L$207,'300 &amp; 317'!$L$212,'300 &amp; 317'!$L$217,'300 &amp; 317'!$L$220,'300 &amp; 317'!$L$230,'300 &amp; 317'!$L$233,'300 &amp; 317'!$L$235,'300 &amp; 317'!$L$239</definedName>
    <definedName name="OSRRefD20x_8" localSheetId="50">'301'!$L$19,'301'!$L$30,'301'!$L$41,'301'!$L$43,'301'!$L$46,'301'!$L$48,'301'!$L$51,'301'!$L$53,'301'!$L$55,'301'!$L$57,'301'!$L$59,'301'!$L$61,'301'!$L$63,'301'!$L$65,'301'!$L$67,'301'!$L$69,'301'!$L$74,'301'!$L$78,'301'!$L$80,'301'!$L$88,'301'!$L$90,'301'!$L$92,'301'!$L$95</definedName>
    <definedName name="OSRRefD20x_8" localSheetId="51">'306'!$L$18,'306'!$L$28,'306'!$L$39,'306'!$L$41,'306'!$L$43,'306'!$L$45,'306'!$L$47,'306'!$L$49,'306'!$L$51</definedName>
    <definedName name="OSRRefD20x_8" localSheetId="53">'307'!$L$37,'307'!$L$46,'307'!$L$57,'307'!$L$59,'307'!$L$61,'307'!$L$63,'307'!$L$66,'307'!$L$69,'307'!$L$71,'307'!$L$74,'307'!$L$77,'307'!$L$81,'307'!$L$84</definedName>
    <definedName name="OSRRefD20x_8" localSheetId="54">'308'!$L$57,'308'!$L$68,'308'!$L$79,'308'!$L$81,'308'!$L$84,'308'!$L$86,'308'!$L$88,'308'!$L$91,'308'!$L$94,'308'!$L$96,'308'!$L$100,'308'!$L$103,'308'!$L$107,'308'!$L$110</definedName>
    <definedName name="OSRRefD20x_8" localSheetId="65">'309'!$L$20,'309'!$L$29,'309'!$L$40,'309'!$L$42,'309'!$L$44,'309'!$L$46,'309'!$L$48,'309'!$L$50,'309'!$L$53,'309'!$L$56,'309'!$L$59</definedName>
    <definedName name="OSRRefD20x_8" localSheetId="64">'310'!$L$28,'310'!$L$38,'310'!$L$49,'310'!$L$51,'310'!$L$53,'310'!$L$55,'310'!$L$58,'310'!$L$60,'310'!$L$62,'310'!$L$64,'310'!$L$66,'310'!$L$68,'310'!$L$70,'310'!$L$73,'310'!$L$75,'310'!$L$79,'310'!$L$86,'310'!$L$89</definedName>
    <definedName name="OSRRefD20x_8" localSheetId="72">'310 &amp; 491'!$L$34,'310 &amp; 491'!$L$44,'310 &amp; 491'!$L$55,'310 &amp; 491'!$L$57,'310 &amp; 491'!$L$59,'310 &amp; 491'!$L$61,'310 &amp; 491'!$L$65,'310 &amp; 491'!$L$67,'310 &amp; 491'!$L$69,'310 &amp; 491'!$L$72,'310 &amp; 491'!$L$74,'310 &amp; 491'!$L$76,'310 &amp; 491'!$L$78,'310 &amp; 491'!$L$80,'310 &amp; 491'!$L$82,'310 &amp; 491'!$L$87,'310 &amp; 491'!$L$90,'310 &amp; 491'!$L$96,'310 &amp; 491'!$L$98,'310 &amp; 491'!$L$109,'310 &amp; 491'!$L$112,'310 &amp; 491'!$L$114,'310 &amp; 491'!$L$116</definedName>
    <definedName name="OSRRefD20x_8" localSheetId="55">'311'!$L$56,'311'!$L$67,'311'!$L$78,'311'!$L$80,'311'!$L$83,'311'!$L$85,'311'!$L$87,'311'!$L$90,'311'!$L$93,'311'!$L$95,'311'!$L$99,'311'!$L$102,'311'!$L$106,'311'!$L$109</definedName>
    <definedName name="OSRRefD20x_8" localSheetId="66">'313'!$L$23,'313'!$L$33,'313'!$L$44,'313'!$L$46,'313'!$L$48,'313'!$L$50,'313'!$L$52</definedName>
    <definedName name="OSRRefD20x_8" localSheetId="58">'315'!$L$79,'315'!$L$89,'315'!$L$100,'315'!$L$102,'315'!$L$104,'315'!$L$106,'315'!$L$109,'315'!$L$111,'315'!$L$114,'315'!$L$116,'315'!$L$119,'315'!$L$121,'315'!$L$123,'315'!$L$127,'315'!$L$130,'315'!$L$138,'315'!$L$140</definedName>
    <definedName name="OSRRefD20x_8" localSheetId="61">'316'!$L$30,'316'!$L$40,'316'!$L$51,'316'!$L$53,'316'!$L$55,'316'!$L$57,'316'!$L$59,'316'!$L$62,'316'!$L$66,'316'!$L$68,'316'!$L$74,'316'!$L$76</definedName>
    <definedName name="OSRRefD20x_8" localSheetId="63">'317'!$L$51,'317'!$L$62,'317'!$L$73,'317'!$L$75,'317'!$L$77,'317'!$L$79,'317'!$L$81,'317'!$L$84,'317'!$L$86,'317'!$L$88,'317'!$L$91,'317'!$L$93,'317'!$L$98,'317'!$L$100</definedName>
    <definedName name="OSRRefD20x_8" localSheetId="67">'321'!$L$22,'321'!$L$32,'321'!$L$43,'321'!$L$45,'321'!$L$47,'321'!$L$49,'321'!$L$51,'321'!$L$54,'321'!$L$56,'321'!$L$59,'321'!$L$62,'321'!$L$65</definedName>
    <definedName name="OSRRefD20x_8" localSheetId="68">'322'!$L$21,'322'!$L$30,'322'!$L$41,'322'!$L$43,'322'!$L$45,'322'!$L$47,'322'!$L$49,'322'!$L$52,'322'!$L$55,'322'!$L$59,'322'!$L$61</definedName>
    <definedName name="OSRRefD20x_8" localSheetId="56">'324'!$L$25,'324'!$L$34</definedName>
    <definedName name="OSRRefD20x_8" localSheetId="69">'325'!$L$20,'325'!$L$29,'325'!$L$40,'325'!$L$42,'325'!$L$44,'325'!$L$46,'325'!$L$49,'325'!$L$51,'325'!$L$53,'325'!$L$55,'325'!$L$57,'325'!$L$60,'325'!$L$63,'325'!$L$69,'325'!$L$72</definedName>
    <definedName name="OSRRefD20x_8" localSheetId="59">'326'!$L$46,'326'!$L$56,'326'!$L$67,'326'!$L$69,'326'!$L$71,'326'!$L$73,'326'!$L$75,'326'!$L$77,'326'!$L$79,'326'!$L$81,'326'!$L$83,'326'!$L$85,'326'!$L$87,'326'!$L$91,'326'!$L$95,'326'!$L$98,'326'!$L$105,'326'!$L$108,'326'!$L$110,'326'!$L$113</definedName>
    <definedName name="OSRRefD20x_8" localSheetId="70">'327'!$L$22,'327'!$L$24</definedName>
    <definedName name="OSRRefD20x_8" localSheetId="52">'330'!$L$40,'330'!$L$50,'330'!$L$61,'330'!$L$63,'330'!$L$65,'330'!$L$67,'330'!$L$70,'330'!$L$73,'330'!$L$75,'330'!$L$78,'330'!$L$81,'330'!$L$85,'330'!$L$88</definedName>
    <definedName name="OSRRefD20x_8" localSheetId="57">'331'!$L$80,'331'!$L$90,'331'!$L$101,'331'!$L$103,'331'!$L$105,'331'!$L$107,'331'!$L$110,'331'!$L$112,'331'!$L$115,'331'!$L$117,'331'!$L$119,'331'!$L$122,'331'!$L$124,'331'!$L$126,'331'!$L$130,'331'!$L$134,'331'!$L$138,'331'!$L$141,'331'!$L$150,'331'!$L$153,'331'!$L$155,'331'!$L$158</definedName>
    <definedName name="OSRRefD20x_8" localSheetId="60">'332'!$L$32,'332'!$L$42,'332'!$L$53,'332'!$L$55,'332'!$L$57,'332'!$L$59,'332'!$L$61,'332'!$L$64,'332'!$L$68,'332'!$L$70,'332'!$L$76,'332'!$L$78</definedName>
    <definedName name="OSRRefD20x_8" localSheetId="74">'405'!$L$22,'405'!$L$31,'405'!$L$42,'405'!$L$44,'405'!$L$46,'405'!$L$49,'405'!$L$51,'405'!$L$53,'405'!$L$55,'405'!$L$57,'405'!$L$60,'405'!$L$62,'405'!$L$67,'405'!$L$69,'405'!$L$78,'405'!$L$80</definedName>
    <definedName name="OSRRefD20x_8" localSheetId="75">'406'!$L$18,'406'!$L$20,'406'!$L$22,'406'!$L$24,'406'!$L$26</definedName>
    <definedName name="OSRRefD20x_8" localSheetId="76">'411'!$L$18,'411'!$L$28,'411'!$L$39,'411'!$L$41,'411'!$L$43,'411'!$L$46,'411'!$L$48,'411'!$L$50,'411'!$L$52,'411'!$L$54,'411'!$L$59,'411'!$L$64,'411'!$L$66,'411'!$L$73,'411'!$L$75,'411'!$L$77</definedName>
    <definedName name="OSRRefD20x_8" localSheetId="77">'412'!$L$20,'412'!$L$29,'412'!$L$40,'412'!$L$42,'412'!$L$44,'412'!$L$47,'412'!$L$49,'412'!$L$51,'412'!$L$53,'412'!$L$56,'412'!$L$58,'412'!$L$63,'412'!$L$68,'412'!$L$71</definedName>
    <definedName name="OSRRefD20x_8" localSheetId="78">'413'!$L$21,'413'!$L$31,'413'!$L$42,'413'!$L$44,'413'!$L$46,'413'!$L$48,'413'!$L$50,'413'!$L$53,'413'!$L$56,'413'!$L$59</definedName>
    <definedName name="OSRRefD20x_8" localSheetId="79">'414'!$L$23,'414'!$L$33,'414'!$L$44,'414'!$L$46,'414'!$L$48,'414'!$L$50,'414'!$L$52,'414'!$L$54,'414'!$L$56,'414'!$L$59,'414'!$L$61,'414'!$L$63,'414'!$L$65,'414'!$L$69</definedName>
    <definedName name="OSRRefD20x_8" localSheetId="80">'415'!$L$25,'415'!$L$35,'415'!$L$46,'415'!$L$48,'415'!$L$50,'415'!$L$52,'415'!$L$55,'415'!$L$57,'415'!$L$59,'415'!$L$61,'415'!$L$63,'415'!$L$65,'415'!$L$68,'415'!$L$73,'415'!$L$75,'415'!$L$82,'415'!$L$85,'415'!$L$87</definedName>
    <definedName name="OSRRefD20x_8" localSheetId="81">'418'!$L$22,'418'!$L$31,'418'!$L$42,'418'!$L$44,'418'!$L$46,'418'!$L$49,'418'!$L$51,'418'!$L$53,'418'!$L$55,'418'!$L$58,'418'!$L$61,'418'!$L$63,'418'!$L$70,'418'!$L$73</definedName>
    <definedName name="OSRRefD20x_8" localSheetId="82">'420'!$L$20,'420'!$L$22</definedName>
    <definedName name="OSRRefD20x_8" localSheetId="83">'423'!$L$18,'423'!$L$27,'423'!$L$38,'423'!$L$40,'423'!$L$43,'423'!$L$45,'423'!$L$47</definedName>
    <definedName name="OSRRefD20x_8" localSheetId="84">'424'!$L$18,'424'!$L$20,'424'!$L$22,'424'!$L$24</definedName>
    <definedName name="OSRRefD20x_8" localSheetId="85">'425'!$L$19,'425'!$L$25,'425'!$L$27,'425'!$L$29,'425'!$L$31,'425'!$L$34</definedName>
    <definedName name="OSRRefD20x_8" localSheetId="88">'430'!$L$18,'430'!$L$28,'430'!$L$39,'430'!$L$41,'430'!$L$43,'430'!$L$47,'430'!$L$50,'430'!$L$52</definedName>
    <definedName name="OSRRefD20x_8" localSheetId="89">'433'!$L$25,'433'!$L$36,'433'!$L$47,'433'!$L$49,'433'!$L$51,'433'!$L$53,'433'!$L$55,'433'!$L$57,'433'!$L$59,'433'!$L$61,'433'!$L$63,'433'!$L$65,'433'!$L$68,'433'!$L$73,'433'!$L$81,'433'!$L$83</definedName>
    <definedName name="OSRRefD20x_8" localSheetId="90">'435'!$L$18</definedName>
    <definedName name="OSRRefD20x_8" localSheetId="91">'444'!$L$25,'444'!$L$36,'444'!$L$47,'444'!$L$49,'444'!$L$51,'444'!$L$53,'444'!$L$55,'444'!$L$57,'444'!$L$59,'444'!$L$61,'444'!$L$63,'444'!$L$65,'444'!$L$68,'444'!$L$73,'444'!$L$75,'444'!$L$84,'444'!$L$87,'444'!$L$89</definedName>
    <definedName name="OSRRefD20x_8" localSheetId="92">'450'!$L$21,'450'!$L$32,'450'!$L$43,'450'!$L$45,'450'!$L$47,'450'!$L$49,'450'!$L$51,'450'!$L$53,'450'!$L$55,'450'!$L$57,'450'!$L$59,'450'!$L$61,'450'!$L$63,'450'!$L$65,'450'!$L$69,'450'!$L$75,'450'!$L$78</definedName>
    <definedName name="OSRRefD20x_8" localSheetId="73">'491'!$L$28,'491'!$L$38,'491'!$L$49,'491'!$L$51,'491'!$L$53,'491'!$L$55,'491'!$L$59,'491'!$L$61,'491'!$L$63,'491'!$L$65,'491'!$L$67,'491'!$L$69,'491'!$L$71,'491'!$L$73,'491'!$L$75,'491'!$L$80,'491'!$L$83,'491'!$L$89,'491'!$L$91,'491'!$L$102,'491'!$L$105,'491'!$L$107,'491'!$L$109</definedName>
    <definedName name="OSRRefD20x_8" localSheetId="87">'492'!$L$25,'492'!$L$36,'492'!$L$47,'492'!$L$49,'492'!$L$51,'492'!$L$53,'492'!$L$55,'492'!$L$57,'492'!$L$59,'492'!$L$61,'492'!$L$63,'492'!$L$65,'492'!$L$67,'492'!$L$71,'492'!$L$76,'492'!$L$78,'492'!$L$89,'492'!$L$92,'492'!$L$94</definedName>
    <definedName name="OSRRefD20x_8" localSheetId="94">'501'!$L$20,'501'!$L$31,'501'!$L$42,'501'!$L$44,'501'!$L$46,'501'!$L$48,'501'!$L$51,'501'!$L$53,'501'!$L$55,'501'!$L$57,'501'!$L$61,'501'!$L$64</definedName>
    <definedName name="OSRRefD20x_8" localSheetId="39">'Div 2'!$L$18,'Div 2'!$L$30,'Div 2'!$L$41,'Div 2'!$L$43,'Div 2'!$L$45,'Div 2'!$L$47,'Div 2'!$L$49,'Div 2'!$L$51,'Div 2'!$L$53,'Div 2'!$L$55,'Div 2'!$L$58,'Div 2'!$L$60,'Div 2'!$L$62,'Div 2'!$L$67,'Div 2'!$L$72,'Div 2'!$L$75,'Div 2'!$L$78,'Div 2'!$L$83,'Div 2'!$L$86,'Div 2'!$L$88</definedName>
    <definedName name="OSRRefD20x_8" localSheetId="47">'Div 3'!$L$126,'Div 3'!$L$137,'Div 3'!$L$148,'Div 3'!$L$150,'Div 3'!$L$153,'Div 3'!$L$155,'Div 3'!$L$158,'Div 3'!$L$161,'Div 3'!$L$163,'Div 3'!$L$165,'Div 3'!$L$167,'Div 3'!$L$170,'Div 3'!$L$173,'Div 3'!$L$175,'Div 3'!$L$177,'Div 3'!$L$180,'Div 3'!$L$182,'Div 3'!$L$184,'Div 3'!$L$189,'Div 3'!$L$194,'Div 3'!$L$199,'Div 3'!$L$202,'Div 3'!$L$212,'Div 3'!$L$215,'Div 3'!$L$217,'Div 3'!$L$221</definedName>
    <definedName name="OSRRefD20x_8" localSheetId="71">'Div 4'!$L$30,'Div 4'!$L$41,'Div 4'!$L$52,'Div 4'!$L$54,'Div 4'!$L$56,'Div 4'!$L$58,'Div 4'!$L$62,'Div 4'!$L$64,'Div 4'!$L$66,'Div 4'!$L$68,'Div 4'!$L$70,'Div 4'!$L$72,'Div 4'!$L$74,'Div 4'!$L$76,'Div 4'!$L$78,'Div 4'!$L$80,'Div 4'!$L$85,'Div 4'!$L$88,'Div 4'!$L$94,'Div 4'!$L$97,'Div 4'!$L$109,'Div 4'!$L$112,'Div 4'!$L$114,'Div 4'!$L$118</definedName>
    <definedName name="OSRRefD20x_8" localSheetId="93">'Div 5'!$L$20,'Div 5'!$L$31,'Div 5'!$L$42,'Div 5'!$L$44,'Div 5'!$L$46,'Div 5'!$L$48,'Div 5'!$L$51,'Div 5'!$L$53,'Div 5'!$L$55,'Div 5'!$L$57,'Div 5'!$L$61,'Div 5'!$L$64</definedName>
    <definedName name="OSRRefD20x_8" localSheetId="62">'Div 6'!$L$51,'Div 6'!$L$62,'Div 6'!$L$73,'Div 6'!$L$75,'Div 6'!$L$77,'Div 6'!$L$79,'Div 6'!$L$81,'Div 6'!$L$84,'Div 6'!$L$86,'Div 6'!$L$88,'Div 6'!$L$91,'Div 6'!$L$93,'Div 6'!$L$98,'Div 6'!$L$100</definedName>
    <definedName name="OSRRefD20x_8" localSheetId="2">Summary!$L$156,Summary!$L$167,Summary!$L$178,Summary!$L$180,Summary!$L$183,Summary!$L$185,Summary!$L$189,Summary!$L$192,Summary!$L$194,Summary!$L$196,Summary!$L$198,Summary!$L$201,Summary!$L$204,Summary!$L$206,Summary!$L$208,Summary!$L$211,Summary!$L$213,Summary!$L$215,Summary!$L$217,Summary!$L$222,Summary!$L$227,Summary!$L$233,Summary!$L$236,Summary!$L$248,Summary!$L$251,Summary!$L$253,Summary!$L$257</definedName>
    <definedName name="OSRRefD20x_9" localSheetId="40">'200'!$M$18,'200'!$M$20,'200'!$M$22,'200'!$M$24</definedName>
    <definedName name="OSRRefD20x_9" localSheetId="41">'201'!$M$18,'201'!$M$28,'201'!$M$39,'201'!$M$41,'201'!$M$43,'201'!$M$45,'201'!$M$47,'201'!$M$49,'201'!$M$51,'201'!$M$53,'201'!$M$55,'201'!$M$58,'201'!$M$61,'201'!$M$63,'201'!$M$67,'201'!$M$69</definedName>
    <definedName name="OSRRefD20x_9" localSheetId="42">'202'!$M$18,'202'!$M$28,'202'!$M$39,'202'!$M$41,'202'!$M$43,'202'!$M$46,'202'!$M$48,'202'!$M$50,'202'!$M$54,'202'!$M$56,'202'!$M$59,'202'!$M$61,'202'!$M$63</definedName>
    <definedName name="OSRRefD20x_9" localSheetId="43">'203'!$M$18,'203'!$M$29,'203'!$M$40,'203'!$M$42,'203'!$M$44,'203'!$M$46,'203'!$M$48,'203'!$M$50,'203'!$M$52,'203'!$M$56,'203'!$M$59,'203'!$M$61,'203'!$M$65,'203'!$M$67,'203'!$M$69</definedName>
    <definedName name="OSRRefD20x_9" localSheetId="44">'204'!$M$18,'204'!$M$29,'204'!$M$40,'204'!$M$42,'204'!$M$44,'204'!$M$46,'204'!$M$50,'204'!$M$52,'204'!$M$54,'204'!$M$57,'204'!$M$59</definedName>
    <definedName name="OSRRefD20x_9" localSheetId="45">'205'!$M$18,'205'!$M$28,'205'!$M$39,'205'!$M$41,'205'!$M$43,'205'!$M$46,'205'!$M$48,'205'!$M$51</definedName>
    <definedName name="OSRRefD20x_9" localSheetId="46">'206'!$M$18,'206'!$M$28,'206'!$M$39,'206'!$M$41,'206'!$M$43,'206'!$M$45,'206'!$M$47</definedName>
    <definedName name="OSRRefD20x_9" localSheetId="48">'300'!$M$122,'300'!$M$133,'300'!$M$144,'300'!$M$146,'300'!$M$149,'300'!$M$151,'300'!$M$154,'300'!$M$157,'300'!$M$159,'300'!$M$161,'300'!$M$163,'300'!$M$166,'300'!$M$169,'300'!$M$171,'300'!$M$174,'300'!$M$176,'300'!$M$178,'300'!$M$183,'300'!$M$188,'300'!$M$193,'300'!$M$196,'300'!$M$206,'300'!$M$209,'300'!$M$211,'300'!$M$215</definedName>
    <definedName name="OSRRefD20x_9" localSheetId="49">'300 &amp; 317'!$M$146,'300 &amp; 317'!$M$157,'300 &amp; 317'!$M$168,'300 &amp; 317'!$M$170,'300 &amp; 317'!$M$173,'300 &amp; 317'!$M$175,'300 &amp; 317'!$M$178,'300 &amp; 317'!$M$181,'300 &amp; 317'!$M$183,'300 &amp; 317'!$M$185,'300 &amp; 317'!$M$187,'300 &amp; 317'!$M$190,'300 &amp; 317'!$M$193,'300 &amp; 317'!$M$195,'300 &amp; 317'!$M$198,'300 &amp; 317'!$M$200,'300 &amp; 317'!$M$202,'300 &amp; 317'!$M$207,'300 &amp; 317'!$M$212,'300 &amp; 317'!$M$217,'300 &amp; 317'!$M$220,'300 &amp; 317'!$M$230,'300 &amp; 317'!$M$233,'300 &amp; 317'!$M$235,'300 &amp; 317'!$M$239</definedName>
    <definedName name="OSRRefD20x_9" localSheetId="50">'301'!$M$19,'301'!$M$30,'301'!$M$41,'301'!$M$43,'301'!$M$46,'301'!$M$48,'301'!$M$51,'301'!$M$53,'301'!$M$55,'301'!$M$57,'301'!$M$59,'301'!$M$61,'301'!$M$63,'301'!$M$65,'301'!$M$67,'301'!$M$69,'301'!$M$74,'301'!$M$78,'301'!$M$80,'301'!$M$88,'301'!$M$90,'301'!$M$92,'301'!$M$95</definedName>
    <definedName name="OSRRefD20x_9" localSheetId="51">'306'!$M$18,'306'!$M$28,'306'!$M$39,'306'!$M$41,'306'!$M$43,'306'!$M$45,'306'!$M$47,'306'!$M$49,'306'!$M$51</definedName>
    <definedName name="OSRRefD20x_9" localSheetId="53">'307'!$M$37,'307'!$M$46,'307'!$M$57,'307'!$M$59,'307'!$M$61,'307'!$M$63,'307'!$M$66,'307'!$M$69,'307'!$M$71,'307'!$M$74,'307'!$M$77,'307'!$M$81,'307'!$M$84</definedName>
    <definedName name="OSRRefD20x_9" localSheetId="54">'308'!$M$57,'308'!$M$68,'308'!$M$79,'308'!$M$81,'308'!$M$84,'308'!$M$86,'308'!$M$88,'308'!$M$91,'308'!$M$94,'308'!$M$96,'308'!$M$100,'308'!$M$103,'308'!$M$107,'308'!$M$110</definedName>
    <definedName name="OSRRefD20x_9" localSheetId="65">'309'!$M$20,'309'!$M$29,'309'!$M$40,'309'!$M$42,'309'!$M$44,'309'!$M$46,'309'!$M$48,'309'!$M$50,'309'!$M$53,'309'!$M$56,'309'!$M$59</definedName>
    <definedName name="OSRRefD20x_9" localSheetId="64">'310'!$M$28,'310'!$M$38,'310'!$M$49,'310'!$M$51,'310'!$M$53,'310'!$M$55,'310'!$M$58,'310'!$M$60,'310'!$M$62,'310'!$M$64,'310'!$M$66,'310'!$M$68,'310'!$M$70,'310'!$M$73,'310'!$M$75,'310'!$M$79,'310'!$M$86,'310'!$M$89</definedName>
    <definedName name="OSRRefD20x_9" localSheetId="72">'310 &amp; 491'!$M$34,'310 &amp; 491'!$M$44,'310 &amp; 491'!$M$55,'310 &amp; 491'!$M$57,'310 &amp; 491'!$M$59,'310 &amp; 491'!$M$61,'310 &amp; 491'!$M$65,'310 &amp; 491'!$M$67,'310 &amp; 491'!$M$69,'310 &amp; 491'!$M$72,'310 &amp; 491'!$M$74,'310 &amp; 491'!$M$76,'310 &amp; 491'!$M$78,'310 &amp; 491'!$M$80,'310 &amp; 491'!$M$82,'310 &amp; 491'!$M$87,'310 &amp; 491'!$M$90,'310 &amp; 491'!$M$96,'310 &amp; 491'!$M$98,'310 &amp; 491'!$M$109,'310 &amp; 491'!$M$112,'310 &amp; 491'!$M$114,'310 &amp; 491'!$M$116</definedName>
    <definedName name="OSRRefD20x_9" localSheetId="55">'311'!$M$56,'311'!$M$67,'311'!$M$78,'311'!$M$80,'311'!$M$83,'311'!$M$85,'311'!$M$87,'311'!$M$90,'311'!$M$93,'311'!$M$95,'311'!$M$99,'311'!$M$102,'311'!$M$106,'311'!$M$109</definedName>
    <definedName name="OSRRefD20x_9" localSheetId="66">'313'!$M$23,'313'!$M$33,'313'!$M$44,'313'!$M$46,'313'!$M$48,'313'!$M$50,'313'!$M$52</definedName>
    <definedName name="OSRRefD20x_9" localSheetId="58">'315'!$M$79,'315'!$M$89,'315'!$M$100,'315'!$M$102,'315'!$M$104,'315'!$M$106,'315'!$M$109,'315'!$M$111,'315'!$M$114,'315'!$M$116,'315'!$M$119,'315'!$M$121,'315'!$M$123,'315'!$M$127,'315'!$M$130,'315'!$M$138,'315'!$M$140</definedName>
    <definedName name="OSRRefD20x_9" localSheetId="61">'316'!$M$30,'316'!$M$40,'316'!$M$51,'316'!$M$53,'316'!$M$55,'316'!$M$57,'316'!$M$59,'316'!$M$62,'316'!$M$66,'316'!$M$68,'316'!$M$74,'316'!$M$76</definedName>
    <definedName name="OSRRefD20x_9" localSheetId="63">'317'!$M$51,'317'!$M$62,'317'!$M$73,'317'!$M$75,'317'!$M$77,'317'!$M$79,'317'!$M$81,'317'!$M$84,'317'!$M$86,'317'!$M$88,'317'!$M$91,'317'!$M$93,'317'!$M$98,'317'!$M$100</definedName>
    <definedName name="OSRRefD20x_9" localSheetId="67">'321'!$M$22,'321'!$M$32,'321'!$M$43,'321'!$M$45,'321'!$M$47,'321'!$M$49,'321'!$M$51,'321'!$M$54,'321'!$M$56,'321'!$M$59,'321'!$M$62,'321'!$M$65</definedName>
    <definedName name="OSRRefD20x_9" localSheetId="68">'322'!$M$21,'322'!$M$30,'322'!$M$41,'322'!$M$43,'322'!$M$45,'322'!$M$47,'322'!$M$49,'322'!$M$52,'322'!$M$55,'322'!$M$59,'322'!$M$61</definedName>
    <definedName name="OSRRefD20x_9" localSheetId="56">'324'!$M$25,'324'!$M$34</definedName>
    <definedName name="OSRRefD20x_9" localSheetId="69">'325'!$M$20,'325'!$M$29,'325'!$M$40,'325'!$M$42,'325'!$M$44,'325'!$M$46,'325'!$M$49,'325'!$M$51,'325'!$M$53,'325'!$M$55,'325'!$M$57,'325'!$M$60,'325'!$M$63,'325'!$M$69,'325'!$M$72</definedName>
    <definedName name="OSRRefD20x_9" localSheetId="59">'326'!$M$46,'326'!$M$56,'326'!$M$67,'326'!$M$69,'326'!$M$71,'326'!$M$73,'326'!$M$75,'326'!$M$77,'326'!$M$79,'326'!$M$81,'326'!$M$83,'326'!$M$85,'326'!$M$87,'326'!$M$91,'326'!$M$95,'326'!$M$98,'326'!$M$105,'326'!$M$108,'326'!$M$110,'326'!$M$113</definedName>
    <definedName name="OSRRefD20x_9" localSheetId="70">'327'!$M$22,'327'!$M$24</definedName>
    <definedName name="OSRRefD20x_9" localSheetId="52">'330'!$M$40,'330'!$M$50,'330'!$M$61,'330'!$M$63,'330'!$M$65,'330'!$M$67,'330'!$M$70,'330'!$M$73,'330'!$M$75,'330'!$M$78,'330'!$M$81,'330'!$M$85,'330'!$M$88</definedName>
    <definedName name="OSRRefD20x_9" localSheetId="57">'331'!$M$80,'331'!$M$90,'331'!$M$101,'331'!$M$103,'331'!$M$105,'331'!$M$107,'331'!$M$110,'331'!$M$112,'331'!$M$115,'331'!$M$117,'331'!$M$119,'331'!$M$122,'331'!$M$124,'331'!$M$126,'331'!$M$130,'331'!$M$134,'331'!$M$138,'331'!$M$141,'331'!$M$150,'331'!$M$153,'331'!$M$155,'331'!$M$158</definedName>
    <definedName name="OSRRefD20x_9" localSheetId="60">'332'!$M$32,'332'!$M$42,'332'!$M$53,'332'!$M$55,'332'!$M$57,'332'!$M$59,'332'!$M$61,'332'!$M$64,'332'!$M$68,'332'!$M$70,'332'!$M$76,'332'!$M$78</definedName>
    <definedName name="OSRRefD20x_9" localSheetId="74">'405'!$M$22,'405'!$M$31,'405'!$M$42,'405'!$M$44,'405'!$M$46,'405'!$M$49,'405'!$M$51,'405'!$M$53,'405'!$M$55,'405'!$M$57,'405'!$M$60,'405'!$M$62,'405'!$M$67,'405'!$M$69,'405'!$M$78,'405'!$M$80</definedName>
    <definedName name="OSRRefD20x_9" localSheetId="75">'406'!$M$18,'406'!$M$20,'406'!$M$22,'406'!$M$24,'406'!$M$26</definedName>
    <definedName name="OSRRefD20x_9" localSheetId="76">'411'!$M$18,'411'!$M$28,'411'!$M$39,'411'!$M$41,'411'!$M$43,'411'!$M$46,'411'!$M$48,'411'!$M$50,'411'!$M$52,'411'!$M$54,'411'!$M$59,'411'!$M$64,'411'!$M$66,'411'!$M$73,'411'!$M$75,'411'!$M$77</definedName>
    <definedName name="OSRRefD20x_9" localSheetId="77">'412'!$M$20,'412'!$M$29,'412'!$M$40,'412'!$M$42,'412'!$M$44,'412'!$M$47,'412'!$M$49,'412'!$M$51,'412'!$M$53,'412'!$M$56,'412'!$M$58,'412'!$M$63,'412'!$M$68,'412'!$M$71</definedName>
    <definedName name="OSRRefD20x_9" localSheetId="78">'413'!$M$21,'413'!$M$31,'413'!$M$42,'413'!$M$44,'413'!$M$46,'413'!$M$48,'413'!$M$50,'413'!$M$53,'413'!$M$56,'413'!$M$59</definedName>
    <definedName name="OSRRefD20x_9" localSheetId="79">'414'!$M$23,'414'!$M$33,'414'!$M$44,'414'!$M$46,'414'!$M$48,'414'!$M$50,'414'!$M$52,'414'!$M$54,'414'!$M$56,'414'!$M$59,'414'!$M$61,'414'!$M$63,'414'!$M$65,'414'!$M$69</definedName>
    <definedName name="OSRRefD20x_9" localSheetId="80">'415'!$M$25,'415'!$M$35,'415'!$M$46,'415'!$M$48,'415'!$M$50,'415'!$M$52,'415'!$M$55,'415'!$M$57,'415'!$M$59,'415'!$M$61,'415'!$M$63,'415'!$M$65,'415'!$M$68,'415'!$M$73,'415'!$M$75,'415'!$M$82,'415'!$M$85,'415'!$M$87</definedName>
    <definedName name="OSRRefD20x_9" localSheetId="81">'418'!$M$22,'418'!$M$31,'418'!$M$42,'418'!$M$44,'418'!$M$46,'418'!$M$49,'418'!$M$51,'418'!$M$53,'418'!$M$55,'418'!$M$58,'418'!$M$61,'418'!$M$63,'418'!$M$70,'418'!$M$73</definedName>
    <definedName name="OSRRefD20x_9" localSheetId="82">'420'!$M$20,'420'!$M$22</definedName>
    <definedName name="OSRRefD20x_9" localSheetId="83">'423'!$M$18,'423'!$M$27,'423'!$M$38,'423'!$M$40,'423'!$M$43,'423'!$M$45,'423'!$M$47</definedName>
    <definedName name="OSRRefD20x_9" localSheetId="84">'424'!$M$18,'424'!$M$20,'424'!$M$22,'424'!$M$24</definedName>
    <definedName name="OSRRefD20x_9" localSheetId="85">'425'!$M$19,'425'!$M$25,'425'!$M$27,'425'!$M$29,'425'!$M$31,'425'!$M$34</definedName>
    <definedName name="OSRRefD20x_9" localSheetId="88">'430'!$M$18,'430'!$M$28,'430'!$M$39,'430'!$M$41,'430'!$M$43,'430'!$M$47,'430'!$M$50,'430'!$M$52</definedName>
    <definedName name="OSRRefD20x_9" localSheetId="89">'433'!$M$25,'433'!$M$36,'433'!$M$47,'433'!$M$49,'433'!$M$51,'433'!$M$53,'433'!$M$55,'433'!$M$57,'433'!$M$59,'433'!$M$61,'433'!$M$63,'433'!$M$65,'433'!$M$68,'433'!$M$73,'433'!$M$81,'433'!$M$83</definedName>
    <definedName name="OSRRefD20x_9" localSheetId="90">'435'!$M$18</definedName>
    <definedName name="OSRRefD20x_9" localSheetId="91">'444'!$M$25,'444'!$M$36,'444'!$M$47,'444'!$M$49,'444'!$M$51,'444'!$M$53,'444'!$M$55,'444'!$M$57,'444'!$M$59,'444'!$M$61,'444'!$M$63,'444'!$M$65,'444'!$M$68,'444'!$M$73,'444'!$M$75,'444'!$M$84,'444'!$M$87,'444'!$M$89</definedName>
    <definedName name="OSRRefD20x_9" localSheetId="92">'450'!$M$21,'450'!$M$32,'450'!$M$43,'450'!$M$45,'450'!$M$47,'450'!$M$49,'450'!$M$51,'450'!$M$53,'450'!$M$55,'450'!$M$57,'450'!$M$59,'450'!$M$61,'450'!$M$63,'450'!$M$65,'450'!$M$69,'450'!$M$75,'450'!$M$78</definedName>
    <definedName name="OSRRefD20x_9" localSheetId="73">'491'!$M$28,'491'!$M$38,'491'!$M$49,'491'!$M$51,'491'!$M$53,'491'!$M$55,'491'!$M$59,'491'!$M$61,'491'!$M$63,'491'!$M$65,'491'!$M$67,'491'!$M$69,'491'!$M$71,'491'!$M$73,'491'!$M$75,'491'!$M$80,'491'!$M$83,'491'!$M$89,'491'!$M$91,'491'!$M$102,'491'!$M$105,'491'!$M$107,'491'!$M$109</definedName>
    <definedName name="OSRRefD20x_9" localSheetId="87">'492'!$M$25,'492'!$M$36,'492'!$M$47,'492'!$M$49,'492'!$M$51,'492'!$M$53,'492'!$M$55,'492'!$M$57,'492'!$M$59,'492'!$M$61,'492'!$M$63,'492'!$M$65,'492'!$M$67,'492'!$M$71,'492'!$M$76,'492'!$M$78,'492'!$M$89,'492'!$M$92,'492'!$M$94</definedName>
    <definedName name="OSRRefD20x_9" localSheetId="94">'501'!$M$20,'501'!$M$31,'501'!$M$42,'501'!$M$44,'501'!$M$46,'501'!$M$48,'501'!$M$51,'501'!$M$53,'501'!$M$55,'501'!$M$57,'501'!$M$61,'501'!$M$64</definedName>
    <definedName name="OSRRefD20x_9" localSheetId="39">'Div 2'!$M$18,'Div 2'!$M$30,'Div 2'!$M$41,'Div 2'!$M$43,'Div 2'!$M$45,'Div 2'!$M$47,'Div 2'!$M$49,'Div 2'!$M$51,'Div 2'!$M$53,'Div 2'!$M$55,'Div 2'!$M$58,'Div 2'!$M$60,'Div 2'!$M$62,'Div 2'!$M$67,'Div 2'!$M$72,'Div 2'!$M$75,'Div 2'!$M$78,'Div 2'!$M$83,'Div 2'!$M$86,'Div 2'!$M$88</definedName>
    <definedName name="OSRRefD20x_9" localSheetId="47">'Div 3'!$M$126,'Div 3'!$M$137,'Div 3'!$M$148,'Div 3'!$M$150,'Div 3'!$M$153,'Div 3'!$M$155,'Div 3'!$M$158,'Div 3'!$M$161,'Div 3'!$M$163,'Div 3'!$M$165,'Div 3'!$M$167,'Div 3'!$M$170,'Div 3'!$M$173,'Div 3'!$M$175,'Div 3'!$M$177,'Div 3'!$M$180,'Div 3'!$M$182,'Div 3'!$M$184,'Div 3'!$M$189,'Div 3'!$M$194,'Div 3'!$M$199,'Div 3'!$M$202,'Div 3'!$M$212,'Div 3'!$M$215,'Div 3'!$M$217,'Div 3'!$M$221</definedName>
    <definedName name="OSRRefD20x_9" localSheetId="71">'Div 4'!$M$30,'Div 4'!$M$41,'Div 4'!$M$52,'Div 4'!$M$54,'Div 4'!$M$56,'Div 4'!$M$58,'Div 4'!$M$62,'Div 4'!$M$64,'Div 4'!$M$66,'Div 4'!$M$68,'Div 4'!$M$70,'Div 4'!$M$72,'Div 4'!$M$74,'Div 4'!$M$76,'Div 4'!$M$78,'Div 4'!$M$80,'Div 4'!$M$85,'Div 4'!$M$88,'Div 4'!$M$94,'Div 4'!$M$97,'Div 4'!$M$109,'Div 4'!$M$112,'Div 4'!$M$114,'Div 4'!$M$118</definedName>
    <definedName name="OSRRefD20x_9" localSheetId="93">'Div 5'!$M$20,'Div 5'!$M$31,'Div 5'!$M$42,'Div 5'!$M$44,'Div 5'!$M$46,'Div 5'!$M$48,'Div 5'!$M$51,'Div 5'!$M$53,'Div 5'!$M$55,'Div 5'!$M$57,'Div 5'!$M$61,'Div 5'!$M$64</definedName>
    <definedName name="OSRRefD20x_9" localSheetId="62">'Div 6'!$M$51,'Div 6'!$M$62,'Div 6'!$M$73,'Div 6'!$M$75,'Div 6'!$M$77,'Div 6'!$M$79,'Div 6'!$M$81,'Div 6'!$M$84,'Div 6'!$M$86,'Div 6'!$M$88,'Div 6'!$M$91,'Div 6'!$M$93,'Div 6'!$M$98,'Div 6'!$M$100</definedName>
    <definedName name="OSRRefD20x_9" localSheetId="2">Summary!$M$156,Summary!$M$167,Summary!$M$178,Summary!$M$180,Summary!$M$183,Summary!$M$185,Summary!$M$189,Summary!$M$192,Summary!$M$194,Summary!$M$196,Summary!$M$198,Summary!$M$201,Summary!$M$204,Summary!$M$206,Summary!$M$208,Summary!$M$211,Summary!$M$213,Summary!$M$215,Summary!$M$217,Summary!$M$222,Summary!$M$227,Summary!$M$233,Summary!$M$236,Summary!$M$248,Summary!$M$251,Summary!$M$253,Summary!$M$257</definedName>
    <definedName name="OSRRefD21_0_0x" localSheetId="40">'200'!$D$19:$M$19</definedName>
    <definedName name="OSRRefD21_0_0x" localSheetId="41">'201'!$D$19:$M$19</definedName>
    <definedName name="OSRRefD21_0_0x" localSheetId="42">'202'!$D$19:$M$19</definedName>
    <definedName name="OSRRefD21_0_0x" localSheetId="43">'203'!$D$19:$M$19</definedName>
    <definedName name="OSRRefD21_0_0x" localSheetId="44">'204'!$D$19:$M$19</definedName>
    <definedName name="OSRRefD21_0_0x" localSheetId="45">'205'!$D$19:$M$19</definedName>
    <definedName name="OSRRefD21_0_0x" localSheetId="46">'206'!$D$19:$M$19</definedName>
    <definedName name="OSRRefD21_0_0x" localSheetId="48">'300'!$D$123:$M$123</definedName>
    <definedName name="OSRRefD21_0_0x" localSheetId="49">'300 &amp; 317'!$D$147:$M$147</definedName>
    <definedName name="OSRRefD21_0_0x" localSheetId="50">'301'!$D$20:$M$20</definedName>
    <definedName name="OSRRefD21_0_0x" localSheetId="51">'306'!$D$19:$M$19</definedName>
    <definedName name="OSRRefD21_0_0x" localSheetId="53">'307'!$D$38:$M$38</definedName>
    <definedName name="OSRRefD21_0_0x" localSheetId="54">'308'!$D$58:$M$58</definedName>
    <definedName name="OSRRefD21_0_0x" localSheetId="65">'309'!$D$21:$M$21</definedName>
    <definedName name="OSRRefD21_0_0x" localSheetId="64">'310'!$D$29:$M$29</definedName>
    <definedName name="OSRRefD21_0_0x" localSheetId="72">'310 &amp; 491'!$D$35:$M$35</definedName>
    <definedName name="OSRRefD21_0_0x" localSheetId="55">'311'!$D$57:$M$57</definedName>
    <definedName name="OSRRefD21_0_0x" localSheetId="66">'313'!$D$24:$M$24</definedName>
    <definedName name="OSRRefD21_0_0x" localSheetId="58">'315'!$D$80:$M$80</definedName>
    <definedName name="OSRRefD21_0_0x" localSheetId="61">'316'!$D$31:$M$31</definedName>
    <definedName name="OSRRefD21_0_0x" localSheetId="63">'317'!$D$52:$M$52</definedName>
    <definedName name="OSRRefD21_0_0x" localSheetId="67">'321'!$D$23:$M$23</definedName>
    <definedName name="OSRRefD21_0_0x" localSheetId="68">'322'!$D$22:$M$22</definedName>
    <definedName name="OSRRefD21_0_0x" localSheetId="56">'324'!$D$26:$M$26</definedName>
    <definedName name="OSRRefD21_0_0x" localSheetId="69">'325'!$D$21:$M$21</definedName>
    <definedName name="OSRRefD21_0_0x" localSheetId="59">'326'!$D$47:$M$47</definedName>
    <definedName name="OSRRefD21_0_0x" localSheetId="70">'327'!$D$23:$M$23</definedName>
    <definedName name="OSRRefD21_0_0x" localSheetId="52">'330'!$D$41:$M$41</definedName>
    <definedName name="OSRRefD21_0_0x" localSheetId="57">'331'!$D$81:$M$81</definedName>
    <definedName name="OSRRefD21_0_0x" localSheetId="60">'332'!$D$33:$M$33</definedName>
    <definedName name="OSRRefD21_0_0x" localSheetId="74">'405'!$D$23:$M$23</definedName>
    <definedName name="OSRRefD21_0_0x" localSheetId="75">'406'!$D$19:$M$19</definedName>
    <definedName name="OSRRefD21_0_0x" localSheetId="76">'411'!$D$19:$M$19</definedName>
    <definedName name="OSRRefD21_0_0x" localSheetId="77">'412'!$D$21:$M$21</definedName>
    <definedName name="OSRRefD21_0_0x" localSheetId="78">'413'!$D$22:$M$22</definedName>
    <definedName name="OSRRefD21_0_0x" localSheetId="79">'414'!$D$24:$M$24</definedName>
    <definedName name="OSRRefD21_0_0x" localSheetId="80">'415'!$D$26:$M$26</definedName>
    <definedName name="OSRRefD21_0_0x" localSheetId="81">'418'!$D$23:$M$23</definedName>
    <definedName name="OSRRefD21_0_0x" localSheetId="82">'420'!$D$21:$M$21</definedName>
    <definedName name="OSRRefD21_0_0x" localSheetId="83">'423'!$D$19:$M$19</definedName>
    <definedName name="OSRRefD21_0_0x" localSheetId="84">'424'!$D$19:$M$19</definedName>
    <definedName name="OSRRefD21_0_0x" localSheetId="85">'425'!$D$20:$M$20</definedName>
    <definedName name="OSRRefD21_0_0x" localSheetId="88">'430'!$D$19:$M$19</definedName>
    <definedName name="OSRRefD21_0_0x" localSheetId="89">'433'!$D$26:$M$26</definedName>
    <definedName name="OSRRefD21_0_0x" localSheetId="90">'435'!$D$19:$M$19</definedName>
    <definedName name="OSRRefD21_0_0x" localSheetId="91">'444'!$D$26:$M$26</definedName>
    <definedName name="OSRRefD21_0_0x" localSheetId="92">'450'!$D$22:$M$22</definedName>
    <definedName name="OSRRefD21_0_0x" localSheetId="73">'491'!$D$29:$M$29</definedName>
    <definedName name="OSRRefD21_0_0x" localSheetId="87">'492'!$D$26:$M$26</definedName>
    <definedName name="OSRRefD21_0_0x" localSheetId="94">'501'!$D$21:$M$21</definedName>
    <definedName name="OSRRefD21_0_0x" localSheetId="39">'Div 2'!$D$19:$M$19</definedName>
    <definedName name="OSRRefD21_0_0x" localSheetId="47">'Div 3'!$D$127:$M$127</definedName>
    <definedName name="OSRRefD21_0_0x" localSheetId="71">'Div 4'!$D$31:$M$31</definedName>
    <definedName name="OSRRefD21_0_0x" localSheetId="93">'Div 5'!$D$21:$M$21</definedName>
    <definedName name="OSRRefD21_0_0x" localSheetId="62">'Div 6'!$D$52:$M$52</definedName>
    <definedName name="OSRRefD21_0_0x" localSheetId="2">Summary!$D$157:$M$157</definedName>
    <definedName name="OSRRefD21_0_10x" localSheetId="39">'Div 2'!$D$29:$M$29</definedName>
    <definedName name="OSRRefD21_0_1x" localSheetId="41">'201'!$D$20:$M$20</definedName>
    <definedName name="OSRRefD21_0_1x" localSheetId="42">'202'!$D$20:$M$20</definedName>
    <definedName name="OSRRefD21_0_1x" localSheetId="43">'203'!$D$20:$M$20</definedName>
    <definedName name="OSRRefD21_0_1x" localSheetId="44">'204'!$D$20:$M$20</definedName>
    <definedName name="OSRRefD21_0_1x" localSheetId="45">'205'!$D$20:$M$20</definedName>
    <definedName name="OSRRefD21_0_1x" localSheetId="46">'206'!$D$20:$M$20</definedName>
    <definedName name="OSRRefD21_0_1x" localSheetId="48">'300'!$D$124:$M$124</definedName>
    <definedName name="OSRRefD21_0_1x" localSheetId="49">'300 &amp; 317'!$D$148:$M$148</definedName>
    <definedName name="OSRRefD21_0_1x" localSheetId="50">'301'!$D$21:$M$21</definedName>
    <definedName name="OSRRefD21_0_1x" localSheetId="51">'306'!$D$20:$M$20</definedName>
    <definedName name="OSRRefD21_0_1x" localSheetId="53">'307'!$D$39:$M$39</definedName>
    <definedName name="OSRRefD21_0_1x" localSheetId="54">'308'!$D$59:$M$59</definedName>
    <definedName name="OSRRefD21_0_1x" localSheetId="65">'309'!$D$22:$M$22</definedName>
    <definedName name="OSRRefD21_0_1x" localSheetId="64">'310'!$D$30:$M$30</definedName>
    <definedName name="OSRRefD21_0_1x" localSheetId="72">'310 &amp; 491'!$D$36:$M$36</definedName>
    <definedName name="OSRRefD21_0_1x" localSheetId="55">'311'!$D$58:$M$58</definedName>
    <definedName name="OSRRefD21_0_1x" localSheetId="66">'313'!$D$25:$M$25</definedName>
    <definedName name="OSRRefD21_0_1x" localSheetId="58">'315'!$D$81:$M$81</definedName>
    <definedName name="OSRRefD21_0_1x" localSheetId="61">'316'!$D$32:$M$32</definedName>
    <definedName name="OSRRefD21_0_1x" localSheetId="63">'317'!$D$53:$M$53</definedName>
    <definedName name="OSRRefD21_0_1x" localSheetId="67">'321'!$D$24:$M$24</definedName>
    <definedName name="OSRRefD21_0_1x" localSheetId="68">'322'!$D$23:$M$23</definedName>
    <definedName name="OSRRefD21_0_1x" localSheetId="56">'324'!$D$27:$M$27</definedName>
    <definedName name="OSRRefD21_0_1x" localSheetId="69">'325'!$D$22:$M$22</definedName>
    <definedName name="OSRRefD21_0_1x" localSheetId="59">'326'!$D$48:$M$48</definedName>
    <definedName name="OSRRefD21_0_1x" localSheetId="52">'330'!$D$42:$M$42</definedName>
    <definedName name="OSRRefD21_0_1x" localSheetId="57">'331'!$D$82:$M$82</definedName>
    <definedName name="OSRRefD21_0_1x" localSheetId="60">'332'!$D$34:$M$34</definedName>
    <definedName name="OSRRefD21_0_1x" localSheetId="74">'405'!$D$24:$M$24</definedName>
    <definedName name="OSRRefD21_0_1x" localSheetId="76">'411'!$D$20:$M$20</definedName>
    <definedName name="OSRRefD21_0_1x" localSheetId="77">'412'!$D$22:$M$22</definedName>
    <definedName name="OSRRefD21_0_1x" localSheetId="78">'413'!$D$23:$M$23</definedName>
    <definedName name="OSRRefD21_0_1x" localSheetId="79">'414'!$D$25:$M$25</definedName>
    <definedName name="OSRRefD21_0_1x" localSheetId="80">'415'!$D$27:$M$27</definedName>
    <definedName name="OSRRefD21_0_1x" localSheetId="81">'418'!$D$24:$M$24</definedName>
    <definedName name="OSRRefD21_0_1x" localSheetId="83">'423'!$D$20:$M$20</definedName>
    <definedName name="OSRRefD21_0_1x" localSheetId="85">'425'!$D$21:$M$21</definedName>
    <definedName name="OSRRefD21_0_1x" localSheetId="88">'430'!$D$20:$M$20</definedName>
    <definedName name="OSRRefD21_0_1x" localSheetId="89">'433'!$D$27:$M$27</definedName>
    <definedName name="OSRRefD21_0_1x" localSheetId="91">'444'!$D$27:$M$27</definedName>
    <definedName name="OSRRefD21_0_1x" localSheetId="92">'450'!$D$23:$M$23</definedName>
    <definedName name="OSRRefD21_0_1x" localSheetId="73">'491'!$D$30:$M$30</definedName>
    <definedName name="OSRRefD21_0_1x" localSheetId="87">'492'!$D$27:$M$27</definedName>
    <definedName name="OSRRefD21_0_1x" localSheetId="94">'501'!$D$22:$M$22</definedName>
    <definedName name="OSRRefD21_0_1x" localSheetId="39">'Div 2'!$D$20:$M$20</definedName>
    <definedName name="OSRRefD21_0_1x" localSheetId="47">'Div 3'!$D$128:$M$128</definedName>
    <definedName name="OSRRefD21_0_1x" localSheetId="71">'Div 4'!$D$32:$M$32</definedName>
    <definedName name="OSRRefD21_0_1x" localSheetId="93">'Div 5'!$D$22:$M$22</definedName>
    <definedName name="OSRRefD21_0_1x" localSheetId="62">'Div 6'!$D$53:$M$53</definedName>
    <definedName name="OSRRefD21_0_1x" localSheetId="2">Summary!$D$158:$M$158</definedName>
    <definedName name="OSRRefD21_0_2x" localSheetId="41">'201'!$D$21:$M$21</definedName>
    <definedName name="OSRRefD21_0_2x" localSheetId="42">'202'!$D$21:$M$21</definedName>
    <definedName name="OSRRefD21_0_2x" localSheetId="43">'203'!$D$21:$M$21</definedName>
    <definedName name="OSRRefD21_0_2x" localSheetId="44">'204'!$D$21:$M$21</definedName>
    <definedName name="OSRRefD21_0_2x" localSheetId="45">'205'!$D$21:$M$21</definedName>
    <definedName name="OSRRefD21_0_2x" localSheetId="46">'206'!$D$21:$M$21</definedName>
    <definedName name="OSRRefD21_0_2x" localSheetId="48">'300'!$D$125:$M$125</definedName>
    <definedName name="OSRRefD21_0_2x" localSheetId="49">'300 &amp; 317'!$D$149:$M$149</definedName>
    <definedName name="OSRRefD21_0_2x" localSheetId="50">'301'!$D$22:$M$22</definedName>
    <definedName name="OSRRefD21_0_2x" localSheetId="51">'306'!$D$21:$M$21</definedName>
    <definedName name="OSRRefD21_0_2x" localSheetId="53">'307'!$D$40:$M$40</definedName>
    <definedName name="OSRRefD21_0_2x" localSheetId="54">'308'!$D$60:$M$60</definedName>
    <definedName name="OSRRefD21_0_2x" localSheetId="65">'309'!$D$23:$M$23</definedName>
    <definedName name="OSRRefD21_0_2x" localSheetId="64">'310'!$D$31:$M$31</definedName>
    <definedName name="OSRRefD21_0_2x" localSheetId="72">'310 &amp; 491'!$D$37:$M$37</definedName>
    <definedName name="OSRRefD21_0_2x" localSheetId="55">'311'!$D$59:$M$59</definedName>
    <definedName name="OSRRefD21_0_2x" localSheetId="66">'313'!$D$26:$M$26</definedName>
    <definedName name="OSRRefD21_0_2x" localSheetId="58">'315'!$D$82:$M$82</definedName>
    <definedName name="OSRRefD21_0_2x" localSheetId="61">'316'!$D$33:$M$33</definedName>
    <definedName name="OSRRefD21_0_2x" localSheetId="63">'317'!$D$54:$M$54</definedName>
    <definedName name="OSRRefD21_0_2x" localSheetId="67">'321'!$D$25:$M$25</definedName>
    <definedName name="OSRRefD21_0_2x" localSheetId="68">'322'!$D$24:$M$24</definedName>
    <definedName name="OSRRefD21_0_2x" localSheetId="56">'324'!$D$28:$M$28</definedName>
    <definedName name="OSRRefD21_0_2x" localSheetId="69">'325'!$D$23:$M$23</definedName>
    <definedName name="OSRRefD21_0_2x" localSheetId="59">'326'!$D$49:$M$49</definedName>
    <definedName name="OSRRefD21_0_2x" localSheetId="52">'330'!$D$43:$M$43</definedName>
    <definedName name="OSRRefD21_0_2x" localSheetId="57">'331'!$D$83:$M$83</definedName>
    <definedName name="OSRRefD21_0_2x" localSheetId="60">'332'!$D$35:$M$35</definedName>
    <definedName name="OSRRefD21_0_2x" localSheetId="74">'405'!$D$25:$M$25</definedName>
    <definedName name="OSRRefD21_0_2x" localSheetId="76">'411'!$D$21:$M$21</definedName>
    <definedName name="OSRRefD21_0_2x" localSheetId="77">'412'!$D$23:$M$23</definedName>
    <definedName name="OSRRefD21_0_2x" localSheetId="78">'413'!$D$24:$M$24</definedName>
    <definedName name="OSRRefD21_0_2x" localSheetId="79">'414'!$D$26:$M$26</definedName>
    <definedName name="OSRRefD21_0_2x" localSheetId="80">'415'!$D$28:$M$28</definedName>
    <definedName name="OSRRefD21_0_2x" localSheetId="81">'418'!$D$25:$M$25</definedName>
    <definedName name="OSRRefD21_0_2x" localSheetId="83">'423'!$D$21:$M$21</definedName>
    <definedName name="OSRRefD21_0_2x" localSheetId="85">'425'!$D$22:$M$22</definedName>
    <definedName name="OSRRefD21_0_2x" localSheetId="88">'430'!$D$21:$M$21</definedName>
    <definedName name="OSRRefD21_0_2x" localSheetId="89">'433'!$D$28:$M$28</definedName>
    <definedName name="OSRRefD21_0_2x" localSheetId="91">'444'!$D$28:$M$28</definedName>
    <definedName name="OSRRefD21_0_2x" localSheetId="92">'450'!$D$24:$M$24</definedName>
    <definedName name="OSRRefD21_0_2x" localSheetId="73">'491'!$D$31:$M$31</definedName>
    <definedName name="OSRRefD21_0_2x" localSheetId="87">'492'!$D$28:$M$28</definedName>
    <definedName name="OSRRefD21_0_2x" localSheetId="94">'501'!$D$23:$M$23</definedName>
    <definedName name="OSRRefD21_0_2x" localSheetId="39">'Div 2'!$D$21:$M$21</definedName>
    <definedName name="OSRRefD21_0_2x" localSheetId="47">'Div 3'!$D$129:$M$129</definedName>
    <definedName name="OSRRefD21_0_2x" localSheetId="71">'Div 4'!$D$33:$M$33</definedName>
    <definedName name="OSRRefD21_0_2x" localSheetId="93">'Div 5'!$D$23:$M$23</definedName>
    <definedName name="OSRRefD21_0_2x" localSheetId="62">'Div 6'!$D$54:$M$54</definedName>
    <definedName name="OSRRefD21_0_2x" localSheetId="2">Summary!$D$159:$M$159</definedName>
    <definedName name="OSRRefD21_0_3x" localSheetId="41">'201'!$D$22:$M$22</definedName>
    <definedName name="OSRRefD21_0_3x" localSheetId="42">'202'!$D$22:$M$22</definedName>
    <definedName name="OSRRefD21_0_3x" localSheetId="43">'203'!$D$22:$M$22</definedName>
    <definedName name="OSRRefD21_0_3x" localSheetId="44">'204'!$D$22:$M$22</definedName>
    <definedName name="OSRRefD21_0_3x" localSheetId="45">'205'!$D$22:$M$22</definedName>
    <definedName name="OSRRefD21_0_3x" localSheetId="46">'206'!$D$22:$M$22</definedName>
    <definedName name="OSRRefD21_0_3x" localSheetId="48">'300'!$D$126:$M$126</definedName>
    <definedName name="OSRRefD21_0_3x" localSheetId="49">'300 &amp; 317'!$D$150:$M$150</definedName>
    <definedName name="OSRRefD21_0_3x" localSheetId="50">'301'!$D$23:$M$23</definedName>
    <definedName name="OSRRefD21_0_3x" localSheetId="51">'306'!$D$22:$M$22</definedName>
    <definedName name="OSRRefD21_0_3x" localSheetId="53">'307'!$D$41:$M$41</definedName>
    <definedName name="OSRRefD21_0_3x" localSheetId="54">'308'!$D$61:$M$61</definedName>
    <definedName name="OSRRefD21_0_3x" localSheetId="65">'309'!$D$24:$M$24</definedName>
    <definedName name="OSRRefD21_0_3x" localSheetId="64">'310'!$D$32:$M$32</definedName>
    <definedName name="OSRRefD21_0_3x" localSheetId="72">'310 &amp; 491'!$D$38:$M$38</definedName>
    <definedName name="OSRRefD21_0_3x" localSheetId="55">'311'!$D$60:$M$60</definedName>
    <definedName name="OSRRefD21_0_3x" localSheetId="66">'313'!$D$27:$M$27</definedName>
    <definedName name="OSRRefD21_0_3x" localSheetId="58">'315'!$D$83:$M$83</definedName>
    <definedName name="OSRRefD21_0_3x" localSheetId="61">'316'!$D$34:$M$34</definedName>
    <definedName name="OSRRefD21_0_3x" localSheetId="63">'317'!$D$55:$M$55</definedName>
    <definedName name="OSRRefD21_0_3x" localSheetId="67">'321'!$D$26:$M$26</definedName>
    <definedName name="OSRRefD21_0_3x" localSheetId="68">'322'!$D$25:$M$25</definedName>
    <definedName name="OSRRefD21_0_3x" localSheetId="56">'324'!$D$29:$M$29</definedName>
    <definedName name="OSRRefD21_0_3x" localSheetId="69">'325'!$D$24:$M$24</definedName>
    <definedName name="OSRRefD21_0_3x" localSheetId="59">'326'!$D$50:$M$50</definedName>
    <definedName name="OSRRefD21_0_3x" localSheetId="52">'330'!$D$44:$M$44</definedName>
    <definedName name="OSRRefD21_0_3x" localSheetId="57">'331'!$D$84:$M$84</definedName>
    <definedName name="OSRRefD21_0_3x" localSheetId="60">'332'!$D$36:$M$36</definedName>
    <definedName name="OSRRefD21_0_3x" localSheetId="74">'405'!$D$26:$M$26</definedName>
    <definedName name="OSRRefD21_0_3x" localSheetId="76">'411'!$D$22:$M$22</definedName>
    <definedName name="OSRRefD21_0_3x" localSheetId="77">'412'!$D$24:$M$24</definedName>
    <definedName name="OSRRefD21_0_3x" localSheetId="78">'413'!$D$25:$M$25</definedName>
    <definedName name="OSRRefD21_0_3x" localSheetId="79">'414'!$D$27:$M$27</definedName>
    <definedName name="OSRRefD21_0_3x" localSheetId="80">'415'!$D$29:$M$29</definedName>
    <definedName name="OSRRefD21_0_3x" localSheetId="81">'418'!$D$26:$M$26</definedName>
    <definedName name="OSRRefD21_0_3x" localSheetId="83">'423'!$D$22:$M$22</definedName>
    <definedName name="OSRRefD21_0_3x" localSheetId="85">'425'!$D$23:$M$23</definedName>
    <definedName name="OSRRefD21_0_3x" localSheetId="88">'430'!$D$22:$M$22</definedName>
    <definedName name="OSRRefD21_0_3x" localSheetId="89">'433'!$D$29:$M$29</definedName>
    <definedName name="OSRRefD21_0_3x" localSheetId="91">'444'!$D$29:$M$29</definedName>
    <definedName name="OSRRefD21_0_3x" localSheetId="92">'450'!$D$25:$M$25</definedName>
    <definedName name="OSRRefD21_0_3x" localSheetId="73">'491'!$D$32:$M$32</definedName>
    <definedName name="OSRRefD21_0_3x" localSheetId="87">'492'!$D$29:$M$29</definedName>
    <definedName name="OSRRefD21_0_3x" localSheetId="94">'501'!$D$24:$M$24</definedName>
    <definedName name="OSRRefD21_0_3x" localSheetId="39">'Div 2'!$D$22:$M$22</definedName>
    <definedName name="OSRRefD21_0_3x" localSheetId="47">'Div 3'!$D$130:$M$130</definedName>
    <definedName name="OSRRefD21_0_3x" localSheetId="71">'Div 4'!$D$34:$M$34</definedName>
    <definedName name="OSRRefD21_0_3x" localSheetId="93">'Div 5'!$D$24:$M$24</definedName>
    <definedName name="OSRRefD21_0_3x" localSheetId="62">'Div 6'!$D$55:$M$55</definedName>
    <definedName name="OSRRefD21_0_3x" localSheetId="2">Summary!$D$160:$M$160</definedName>
    <definedName name="OSRRefD21_0_4x" localSheetId="41">'201'!$D$23:$M$23</definedName>
    <definedName name="OSRRefD21_0_4x" localSheetId="42">'202'!$D$23:$M$23</definedName>
    <definedName name="OSRRefD21_0_4x" localSheetId="43">'203'!$D$23:$M$23</definedName>
    <definedName name="OSRRefD21_0_4x" localSheetId="44">'204'!$D$23:$M$23</definedName>
    <definedName name="OSRRefD21_0_4x" localSheetId="45">'205'!$D$23:$M$23</definedName>
    <definedName name="OSRRefD21_0_4x" localSheetId="46">'206'!$D$23:$M$23</definedName>
    <definedName name="OSRRefD21_0_4x" localSheetId="48">'300'!$D$127:$M$127</definedName>
    <definedName name="OSRRefD21_0_4x" localSheetId="49">'300 &amp; 317'!$D$151:$M$151</definedName>
    <definedName name="OSRRefD21_0_4x" localSheetId="50">'301'!$D$24:$M$24</definedName>
    <definedName name="OSRRefD21_0_4x" localSheetId="51">'306'!$D$23:$M$23</definedName>
    <definedName name="OSRRefD21_0_4x" localSheetId="53">'307'!$D$42:$M$42</definedName>
    <definedName name="OSRRefD21_0_4x" localSheetId="54">'308'!$D$62:$M$62</definedName>
    <definedName name="OSRRefD21_0_4x" localSheetId="65">'309'!$D$25:$M$25</definedName>
    <definedName name="OSRRefD21_0_4x" localSheetId="64">'310'!$D$33:$M$33</definedName>
    <definedName name="OSRRefD21_0_4x" localSheetId="72">'310 &amp; 491'!$D$39:$M$39</definedName>
    <definedName name="OSRRefD21_0_4x" localSheetId="55">'311'!$D$61:$M$61</definedName>
    <definedName name="OSRRefD21_0_4x" localSheetId="66">'313'!$D$28:$M$28</definedName>
    <definedName name="OSRRefD21_0_4x" localSheetId="58">'315'!$D$84:$M$84</definedName>
    <definedName name="OSRRefD21_0_4x" localSheetId="61">'316'!$D$35:$M$35</definedName>
    <definedName name="OSRRefD21_0_4x" localSheetId="63">'317'!$D$56:$M$56</definedName>
    <definedName name="OSRRefD21_0_4x" localSheetId="67">'321'!$D$27:$M$27</definedName>
    <definedName name="OSRRefD21_0_4x" localSheetId="68">'322'!$D$26:$M$26</definedName>
    <definedName name="OSRRefD21_0_4x" localSheetId="56">'324'!$D$30:$M$30</definedName>
    <definedName name="OSRRefD21_0_4x" localSheetId="69">'325'!$D$25:$M$25</definedName>
    <definedName name="OSRRefD21_0_4x" localSheetId="59">'326'!$D$51:$M$51</definedName>
    <definedName name="OSRRefD21_0_4x" localSheetId="52">'330'!$D$45:$M$45</definedName>
    <definedName name="OSRRefD21_0_4x" localSheetId="57">'331'!$D$85:$M$85</definedName>
    <definedName name="OSRRefD21_0_4x" localSheetId="60">'332'!$D$37:$M$37</definedName>
    <definedName name="OSRRefD21_0_4x" localSheetId="74">'405'!$D$27:$M$27</definedName>
    <definedName name="OSRRefD21_0_4x" localSheetId="76">'411'!$D$23:$M$23</definedName>
    <definedName name="OSRRefD21_0_4x" localSheetId="77">'412'!$D$25:$M$25</definedName>
    <definedName name="OSRRefD21_0_4x" localSheetId="78">'413'!$D$26:$M$26</definedName>
    <definedName name="OSRRefD21_0_4x" localSheetId="79">'414'!$D$28:$M$28</definedName>
    <definedName name="OSRRefD21_0_4x" localSheetId="80">'415'!$D$30:$M$30</definedName>
    <definedName name="OSRRefD21_0_4x" localSheetId="81">'418'!$D$27:$M$27</definedName>
    <definedName name="OSRRefD21_0_4x" localSheetId="83">'423'!$D$23:$M$23</definedName>
    <definedName name="OSRRefD21_0_4x" localSheetId="85">'425'!$D$24:$M$24</definedName>
    <definedName name="OSRRefD21_0_4x" localSheetId="88">'430'!$D$23:$M$23</definedName>
    <definedName name="OSRRefD21_0_4x" localSheetId="89">'433'!$D$30:$M$30</definedName>
    <definedName name="OSRRefD21_0_4x" localSheetId="91">'444'!$D$30:$M$30</definedName>
    <definedName name="OSRRefD21_0_4x" localSheetId="92">'450'!$D$26:$M$26</definedName>
    <definedName name="OSRRefD21_0_4x" localSheetId="73">'491'!$D$33:$M$33</definedName>
    <definedName name="OSRRefD21_0_4x" localSheetId="87">'492'!$D$30:$M$30</definedName>
    <definedName name="OSRRefD21_0_4x" localSheetId="94">'501'!$D$25:$M$25</definedName>
    <definedName name="OSRRefD21_0_4x" localSheetId="39">'Div 2'!$D$23:$M$23</definedName>
    <definedName name="OSRRefD21_0_4x" localSheetId="47">'Div 3'!$D$131:$M$131</definedName>
    <definedName name="OSRRefD21_0_4x" localSheetId="71">'Div 4'!$D$35:$M$35</definedName>
    <definedName name="OSRRefD21_0_4x" localSheetId="93">'Div 5'!$D$25:$M$25</definedName>
    <definedName name="OSRRefD21_0_4x" localSheetId="62">'Div 6'!$D$56:$M$56</definedName>
    <definedName name="OSRRefD21_0_4x" localSheetId="2">Summary!$D$161:$M$161</definedName>
    <definedName name="OSRRefD21_0_5x" localSheetId="41">'201'!$D$24:$M$24</definedName>
    <definedName name="OSRRefD21_0_5x" localSheetId="42">'202'!$D$24:$M$24</definedName>
    <definedName name="OSRRefD21_0_5x" localSheetId="43">'203'!$D$24:$M$24</definedName>
    <definedName name="OSRRefD21_0_5x" localSheetId="44">'204'!$D$24:$M$24</definedName>
    <definedName name="OSRRefD21_0_5x" localSheetId="45">'205'!$D$24:$M$24</definedName>
    <definedName name="OSRRefD21_0_5x" localSheetId="46">'206'!$D$24:$M$24</definedName>
    <definedName name="OSRRefD21_0_5x" localSheetId="48">'300'!$D$128:$M$128</definedName>
    <definedName name="OSRRefD21_0_5x" localSheetId="49">'300 &amp; 317'!$D$152:$M$152</definedName>
    <definedName name="OSRRefD21_0_5x" localSheetId="50">'301'!$D$25:$M$25</definedName>
    <definedName name="OSRRefD21_0_5x" localSheetId="51">'306'!$D$24:$M$24</definedName>
    <definedName name="OSRRefD21_0_5x" localSheetId="53">'307'!$D$43:$M$43</definedName>
    <definedName name="OSRRefD21_0_5x" localSheetId="54">'308'!$D$63:$M$63</definedName>
    <definedName name="OSRRefD21_0_5x" localSheetId="65">'309'!$D$26:$M$26</definedName>
    <definedName name="OSRRefD21_0_5x" localSheetId="64">'310'!$D$34:$M$34</definedName>
    <definedName name="OSRRefD21_0_5x" localSheetId="72">'310 &amp; 491'!$D$40:$M$40</definedName>
    <definedName name="OSRRefD21_0_5x" localSheetId="55">'311'!$D$62:$M$62</definedName>
    <definedName name="OSRRefD21_0_5x" localSheetId="66">'313'!$D$29:$M$29</definedName>
    <definedName name="OSRRefD21_0_5x" localSheetId="58">'315'!$D$85:$M$85</definedName>
    <definedName name="OSRRefD21_0_5x" localSheetId="61">'316'!$D$36:$M$36</definedName>
    <definedName name="OSRRefD21_0_5x" localSheetId="63">'317'!$D$57:$M$57</definedName>
    <definedName name="OSRRefD21_0_5x" localSheetId="67">'321'!$D$28:$M$28</definedName>
    <definedName name="OSRRefD21_0_5x" localSheetId="68">'322'!$D$27:$M$27</definedName>
    <definedName name="OSRRefD21_0_5x" localSheetId="56">'324'!$D$31:$M$31</definedName>
    <definedName name="OSRRefD21_0_5x" localSheetId="69">'325'!$D$26:$M$26</definedName>
    <definedName name="OSRRefD21_0_5x" localSheetId="59">'326'!$D$52:$M$52</definedName>
    <definedName name="OSRRefD21_0_5x" localSheetId="52">'330'!$D$46:$M$46</definedName>
    <definedName name="OSRRefD21_0_5x" localSheetId="57">'331'!$D$86:$M$86</definedName>
    <definedName name="OSRRefD21_0_5x" localSheetId="60">'332'!$D$38:$M$38</definedName>
    <definedName name="OSRRefD21_0_5x" localSheetId="74">'405'!$D$28:$M$28</definedName>
    <definedName name="OSRRefD21_0_5x" localSheetId="76">'411'!$D$24:$M$24</definedName>
    <definedName name="OSRRefD21_0_5x" localSheetId="77">'412'!$D$26:$M$26</definedName>
    <definedName name="OSRRefD21_0_5x" localSheetId="78">'413'!$D$27:$M$27</definedName>
    <definedName name="OSRRefD21_0_5x" localSheetId="79">'414'!$D$29:$M$29</definedName>
    <definedName name="OSRRefD21_0_5x" localSheetId="80">'415'!$D$31:$M$31</definedName>
    <definedName name="OSRRefD21_0_5x" localSheetId="81">'418'!$D$28:$M$28</definedName>
    <definedName name="OSRRefD21_0_5x" localSheetId="83">'423'!$D$24:$M$24</definedName>
    <definedName name="OSRRefD21_0_5x" localSheetId="88">'430'!$D$24:$M$24</definedName>
    <definedName name="OSRRefD21_0_5x" localSheetId="89">'433'!$D$31:$M$31</definedName>
    <definedName name="OSRRefD21_0_5x" localSheetId="91">'444'!$D$31:$M$31</definedName>
    <definedName name="OSRRefD21_0_5x" localSheetId="92">'450'!$D$27:$M$27</definedName>
    <definedName name="OSRRefD21_0_5x" localSheetId="73">'491'!$D$34:$M$34</definedName>
    <definedName name="OSRRefD21_0_5x" localSheetId="87">'492'!$D$31:$M$31</definedName>
    <definedName name="OSRRefD21_0_5x" localSheetId="94">'501'!$D$26:$M$26</definedName>
    <definedName name="OSRRefD21_0_5x" localSheetId="39">'Div 2'!$D$24:$M$24</definedName>
    <definedName name="OSRRefD21_0_5x" localSheetId="47">'Div 3'!$D$132:$M$132</definedName>
    <definedName name="OSRRefD21_0_5x" localSheetId="71">'Div 4'!$D$36:$M$36</definedName>
    <definedName name="OSRRefD21_0_5x" localSheetId="93">'Div 5'!$D$26:$M$26</definedName>
    <definedName name="OSRRefD21_0_5x" localSheetId="62">'Div 6'!$D$57:$M$57</definedName>
    <definedName name="OSRRefD21_0_5x" localSheetId="2">Summary!$D$162:$M$162</definedName>
    <definedName name="OSRRefD21_0_6x" localSheetId="41">'201'!$D$25:$M$25</definedName>
    <definedName name="OSRRefD21_0_6x" localSheetId="42">'202'!$D$25:$M$25</definedName>
    <definedName name="OSRRefD21_0_6x" localSheetId="43">'203'!$D$25:$M$25</definedName>
    <definedName name="OSRRefD21_0_6x" localSheetId="44">'204'!$D$25:$M$25</definedName>
    <definedName name="OSRRefD21_0_6x" localSheetId="45">'205'!$D$25:$M$25</definedName>
    <definedName name="OSRRefD21_0_6x" localSheetId="46">'206'!$D$25:$M$25</definedName>
    <definedName name="OSRRefD21_0_6x" localSheetId="48">'300'!$D$129:$M$129</definedName>
    <definedName name="OSRRefD21_0_6x" localSheetId="49">'300 &amp; 317'!$D$153:$M$153</definedName>
    <definedName name="OSRRefD21_0_6x" localSheetId="50">'301'!$D$26:$M$26</definedName>
    <definedName name="OSRRefD21_0_6x" localSheetId="51">'306'!$D$25:$M$25</definedName>
    <definedName name="OSRRefD21_0_6x" localSheetId="53">'307'!$D$44:$M$44</definedName>
    <definedName name="OSRRefD21_0_6x" localSheetId="54">'308'!$D$64:$M$64</definedName>
    <definedName name="OSRRefD21_0_6x" localSheetId="65">'309'!$D$27:$M$27</definedName>
    <definedName name="OSRRefD21_0_6x" localSheetId="64">'310'!$D$35:$M$35</definedName>
    <definedName name="OSRRefD21_0_6x" localSheetId="72">'310 &amp; 491'!$D$41:$M$41</definedName>
    <definedName name="OSRRefD21_0_6x" localSheetId="55">'311'!$D$63:$M$63</definedName>
    <definedName name="OSRRefD21_0_6x" localSheetId="66">'313'!$D$30:$M$30</definedName>
    <definedName name="OSRRefD21_0_6x" localSheetId="58">'315'!$D$86:$M$86</definedName>
    <definedName name="OSRRefD21_0_6x" localSheetId="61">'316'!$D$37:$M$37</definedName>
    <definedName name="OSRRefD21_0_6x" localSheetId="63">'317'!$D$58:$M$58</definedName>
    <definedName name="OSRRefD21_0_6x" localSheetId="67">'321'!$D$29:$M$29</definedName>
    <definedName name="OSRRefD21_0_6x" localSheetId="68">'322'!$D$28:$M$28</definedName>
    <definedName name="OSRRefD21_0_6x" localSheetId="56">'324'!$D$32:$M$32</definedName>
    <definedName name="OSRRefD21_0_6x" localSheetId="69">'325'!$D$27:$M$27</definedName>
    <definedName name="OSRRefD21_0_6x" localSheetId="59">'326'!$D$53:$M$53</definedName>
    <definedName name="OSRRefD21_0_6x" localSheetId="52">'330'!$D$47:$M$47</definedName>
    <definedName name="OSRRefD21_0_6x" localSheetId="57">'331'!$D$87:$M$87</definedName>
    <definedName name="OSRRefD21_0_6x" localSheetId="60">'332'!$D$39:$M$39</definedName>
    <definedName name="OSRRefD21_0_6x" localSheetId="74">'405'!$D$29:$M$29</definedName>
    <definedName name="OSRRefD21_0_6x" localSheetId="76">'411'!$D$25:$M$25</definedName>
    <definedName name="OSRRefD21_0_6x" localSheetId="77">'412'!$D$27:$M$27</definedName>
    <definedName name="OSRRefD21_0_6x" localSheetId="78">'413'!$D$28:$M$28</definedName>
    <definedName name="OSRRefD21_0_6x" localSheetId="79">'414'!$D$30:$M$30</definedName>
    <definedName name="OSRRefD21_0_6x" localSheetId="80">'415'!$D$32:$M$32</definedName>
    <definedName name="OSRRefD21_0_6x" localSheetId="81">'418'!$D$29:$M$29</definedName>
    <definedName name="OSRRefD21_0_6x" localSheetId="83">'423'!$D$25:$M$25</definedName>
    <definedName name="OSRRefD21_0_6x" localSheetId="88">'430'!$D$25:$M$25</definedName>
    <definedName name="OSRRefD21_0_6x" localSheetId="89">'433'!$D$32:$M$32</definedName>
    <definedName name="OSRRefD21_0_6x" localSheetId="91">'444'!$D$32:$M$32</definedName>
    <definedName name="OSRRefD21_0_6x" localSheetId="92">'450'!$D$28:$M$28</definedName>
    <definedName name="OSRRefD21_0_6x" localSheetId="73">'491'!$D$35:$M$35</definedName>
    <definedName name="OSRRefD21_0_6x" localSheetId="87">'492'!$D$32:$M$32</definedName>
    <definedName name="OSRRefD21_0_6x" localSheetId="94">'501'!$D$27:$M$27</definedName>
    <definedName name="OSRRefD21_0_6x" localSheetId="39">'Div 2'!$D$25:$M$25</definedName>
    <definedName name="OSRRefD21_0_6x" localSheetId="47">'Div 3'!$D$133:$M$133</definedName>
    <definedName name="OSRRefD21_0_6x" localSheetId="71">'Div 4'!$D$37:$M$37</definedName>
    <definedName name="OSRRefD21_0_6x" localSheetId="93">'Div 5'!$D$27:$M$27</definedName>
    <definedName name="OSRRefD21_0_6x" localSheetId="62">'Div 6'!$D$58:$M$58</definedName>
    <definedName name="OSRRefD21_0_6x" localSheetId="2">Summary!$D$163:$M$163</definedName>
    <definedName name="OSRRefD21_0_7x" localSheetId="41">'201'!$D$26:$M$26</definedName>
    <definedName name="OSRRefD21_0_7x" localSheetId="42">'202'!$D$26:$M$26</definedName>
    <definedName name="OSRRefD21_0_7x" localSheetId="43">'203'!$D$26:$M$26</definedName>
    <definedName name="OSRRefD21_0_7x" localSheetId="44">'204'!$D$26:$M$26</definedName>
    <definedName name="OSRRefD21_0_7x" localSheetId="45">'205'!$D$26:$M$26</definedName>
    <definedName name="OSRRefD21_0_7x" localSheetId="46">'206'!$D$26:$M$26</definedName>
    <definedName name="OSRRefD21_0_7x" localSheetId="48">'300'!$D$130:$M$130</definedName>
    <definedName name="OSRRefD21_0_7x" localSheetId="49">'300 &amp; 317'!$D$154:$M$154</definedName>
    <definedName name="OSRRefD21_0_7x" localSheetId="50">'301'!$D$27:$M$27</definedName>
    <definedName name="OSRRefD21_0_7x" localSheetId="51">'306'!$D$26:$M$26</definedName>
    <definedName name="OSRRefD21_0_7x" localSheetId="53">'307'!$D$45:$M$45</definedName>
    <definedName name="OSRRefD21_0_7x" localSheetId="54">'308'!$D$65:$M$65</definedName>
    <definedName name="OSRRefD21_0_7x" localSheetId="65">'309'!$D$28:$M$28</definedName>
    <definedName name="OSRRefD21_0_7x" localSheetId="64">'310'!$D$36:$M$36</definedName>
    <definedName name="OSRRefD21_0_7x" localSheetId="72">'310 &amp; 491'!$D$42:$M$42</definedName>
    <definedName name="OSRRefD21_0_7x" localSheetId="55">'311'!$D$64:$M$64</definedName>
    <definedName name="OSRRefD21_0_7x" localSheetId="66">'313'!$D$31:$M$31</definedName>
    <definedName name="OSRRefD21_0_7x" localSheetId="58">'315'!$D$87:$M$87</definedName>
    <definedName name="OSRRefD21_0_7x" localSheetId="61">'316'!$D$38:$M$38</definedName>
    <definedName name="OSRRefD21_0_7x" localSheetId="63">'317'!$D$59:$M$59</definedName>
    <definedName name="OSRRefD21_0_7x" localSheetId="67">'321'!$D$30:$M$30</definedName>
    <definedName name="OSRRefD21_0_7x" localSheetId="68">'322'!$D$29:$M$29</definedName>
    <definedName name="OSRRefD21_0_7x" localSheetId="56">'324'!$D$33:$M$33</definedName>
    <definedName name="OSRRefD21_0_7x" localSheetId="69">'325'!$D$28:$M$28</definedName>
    <definedName name="OSRRefD21_0_7x" localSheetId="59">'326'!$D$54:$M$54</definedName>
    <definedName name="OSRRefD21_0_7x" localSheetId="52">'330'!$D$48:$M$48</definedName>
    <definedName name="OSRRefD21_0_7x" localSheetId="57">'331'!$D$88:$M$88</definedName>
    <definedName name="OSRRefD21_0_7x" localSheetId="60">'332'!$D$40:$M$40</definedName>
    <definedName name="OSRRefD21_0_7x" localSheetId="74">'405'!$D$30:$M$30</definedName>
    <definedName name="OSRRefD21_0_7x" localSheetId="76">'411'!$D$26:$M$26</definedName>
    <definedName name="OSRRefD21_0_7x" localSheetId="77">'412'!$D$28:$M$28</definedName>
    <definedName name="OSRRefD21_0_7x" localSheetId="78">'413'!$D$29:$M$29</definedName>
    <definedName name="OSRRefD21_0_7x" localSheetId="79">'414'!$D$31:$M$31</definedName>
    <definedName name="OSRRefD21_0_7x" localSheetId="80">'415'!$D$33:$M$33</definedName>
    <definedName name="OSRRefD21_0_7x" localSheetId="81">'418'!$D$30:$M$30</definedName>
    <definedName name="OSRRefD21_0_7x" localSheetId="83">'423'!$D$26:$M$26</definedName>
    <definedName name="OSRRefD21_0_7x" localSheetId="88">'430'!$D$26:$M$26</definedName>
    <definedName name="OSRRefD21_0_7x" localSheetId="89">'433'!$D$33:$M$33</definedName>
    <definedName name="OSRRefD21_0_7x" localSheetId="91">'444'!$D$33:$M$33</definedName>
    <definedName name="OSRRefD21_0_7x" localSheetId="92">'450'!$D$29:$M$29</definedName>
    <definedName name="OSRRefD21_0_7x" localSheetId="73">'491'!$D$36:$M$36</definedName>
    <definedName name="OSRRefD21_0_7x" localSheetId="87">'492'!$D$33:$M$33</definedName>
    <definedName name="OSRRefD21_0_7x" localSheetId="94">'501'!$D$28:$M$28</definedName>
    <definedName name="OSRRefD21_0_7x" localSheetId="39">'Div 2'!$D$26:$M$26</definedName>
    <definedName name="OSRRefD21_0_7x" localSheetId="47">'Div 3'!$D$134:$M$134</definedName>
    <definedName name="OSRRefD21_0_7x" localSheetId="71">'Div 4'!$D$38:$M$38</definedName>
    <definedName name="OSRRefD21_0_7x" localSheetId="93">'Div 5'!$D$28:$M$28</definedName>
    <definedName name="OSRRefD21_0_7x" localSheetId="62">'Div 6'!$D$59:$M$59</definedName>
    <definedName name="OSRRefD21_0_7x" localSheetId="2">Summary!$D$164:$M$164</definedName>
    <definedName name="OSRRefD21_0_8x" localSheetId="41">'201'!$D$27:$M$27</definedName>
    <definedName name="OSRRefD21_0_8x" localSheetId="42">'202'!$D$27:$M$27</definedName>
    <definedName name="OSRRefD21_0_8x" localSheetId="43">'203'!$D$27:$M$27</definedName>
    <definedName name="OSRRefD21_0_8x" localSheetId="44">'204'!$D$27:$M$27</definedName>
    <definedName name="OSRRefD21_0_8x" localSheetId="45">'205'!$D$27:$M$27</definedName>
    <definedName name="OSRRefD21_0_8x" localSheetId="46">'206'!$D$27:$M$27</definedName>
    <definedName name="OSRRefD21_0_8x" localSheetId="48">'300'!$D$131:$M$131</definedName>
    <definedName name="OSRRefD21_0_8x" localSheetId="49">'300 &amp; 317'!$D$155:$M$155</definedName>
    <definedName name="OSRRefD21_0_8x" localSheetId="50">'301'!$D$28:$M$28</definedName>
    <definedName name="OSRRefD21_0_8x" localSheetId="51">'306'!$D$27:$M$27</definedName>
    <definedName name="OSRRefD21_0_8x" localSheetId="54">'308'!$D$66:$M$66</definedName>
    <definedName name="OSRRefD21_0_8x" localSheetId="64">'310'!$D$37:$M$37</definedName>
    <definedName name="OSRRefD21_0_8x" localSheetId="72">'310 &amp; 491'!$D$43:$M$43</definedName>
    <definedName name="OSRRefD21_0_8x" localSheetId="55">'311'!$D$65:$M$65</definedName>
    <definedName name="OSRRefD21_0_8x" localSheetId="66">'313'!$D$32:$M$32</definedName>
    <definedName name="OSRRefD21_0_8x" localSheetId="58">'315'!$D$88:$M$88</definedName>
    <definedName name="OSRRefD21_0_8x" localSheetId="61">'316'!$D$39:$M$39</definedName>
    <definedName name="OSRRefD21_0_8x" localSheetId="63">'317'!$D$60:$M$60</definedName>
    <definedName name="OSRRefD21_0_8x" localSheetId="67">'321'!$D$31:$M$31</definedName>
    <definedName name="OSRRefD21_0_8x" localSheetId="59">'326'!$D$55:$M$55</definedName>
    <definedName name="OSRRefD21_0_8x" localSheetId="52">'330'!$D$49:$M$49</definedName>
    <definedName name="OSRRefD21_0_8x" localSheetId="57">'331'!$D$89:$M$89</definedName>
    <definedName name="OSRRefD21_0_8x" localSheetId="60">'332'!$D$41:$M$41</definedName>
    <definedName name="OSRRefD21_0_8x" localSheetId="76">'411'!$D$27:$M$27</definedName>
    <definedName name="OSRRefD21_0_8x" localSheetId="78">'413'!$D$30:$M$30</definedName>
    <definedName name="OSRRefD21_0_8x" localSheetId="79">'414'!$D$32:$M$32</definedName>
    <definedName name="OSRRefD21_0_8x" localSheetId="80">'415'!$D$34:$M$34</definedName>
    <definedName name="OSRRefD21_0_8x" localSheetId="88">'430'!$D$27:$M$27</definedName>
    <definedName name="OSRRefD21_0_8x" localSheetId="89">'433'!$D$34:$M$34</definedName>
    <definedName name="OSRRefD21_0_8x" localSheetId="91">'444'!$D$34:$M$34</definedName>
    <definedName name="OSRRefD21_0_8x" localSheetId="92">'450'!$D$30:$M$30</definedName>
    <definedName name="OSRRefD21_0_8x" localSheetId="73">'491'!$D$37:$M$37</definedName>
    <definedName name="OSRRefD21_0_8x" localSheetId="87">'492'!$D$34:$M$34</definedName>
    <definedName name="OSRRefD21_0_8x" localSheetId="94">'501'!$D$29:$M$29</definedName>
    <definedName name="OSRRefD21_0_8x" localSheetId="39">'Div 2'!$D$27:$M$27</definedName>
    <definedName name="OSRRefD21_0_8x" localSheetId="47">'Div 3'!$D$135:$M$135</definedName>
    <definedName name="OSRRefD21_0_8x" localSheetId="71">'Div 4'!$D$39:$M$39</definedName>
    <definedName name="OSRRefD21_0_8x" localSheetId="93">'Div 5'!$D$29:$M$29</definedName>
    <definedName name="OSRRefD21_0_8x" localSheetId="62">'Div 6'!$D$60:$M$60</definedName>
    <definedName name="OSRRefD21_0_8x" localSheetId="2">Summary!$D$165:$M$165</definedName>
    <definedName name="OSRRefD21_0_9x" localSheetId="43">'203'!$D$28:$M$28</definedName>
    <definedName name="OSRRefD21_0_9x" localSheetId="44">'204'!$D$28:$M$28</definedName>
    <definedName name="OSRRefD21_0_9x" localSheetId="48">'300'!$D$132:$M$132</definedName>
    <definedName name="OSRRefD21_0_9x" localSheetId="49">'300 &amp; 317'!$D$156:$M$156</definedName>
    <definedName name="OSRRefD21_0_9x" localSheetId="50">'301'!$D$29:$M$29</definedName>
    <definedName name="OSRRefD21_0_9x" localSheetId="54">'308'!$D$67:$M$67</definedName>
    <definedName name="OSRRefD21_0_9x" localSheetId="55">'311'!$D$66:$M$66</definedName>
    <definedName name="OSRRefD21_0_9x" localSheetId="63">'317'!$D$61:$M$61</definedName>
    <definedName name="OSRRefD21_0_9x" localSheetId="89">'433'!$D$35:$M$35</definedName>
    <definedName name="OSRRefD21_0_9x" localSheetId="91">'444'!$D$35:$M$35</definedName>
    <definedName name="OSRRefD21_0_9x" localSheetId="92">'450'!$D$31:$M$31</definedName>
    <definedName name="OSRRefD21_0_9x" localSheetId="87">'492'!$D$35:$M$35</definedName>
    <definedName name="OSRRefD21_0_9x" localSheetId="94">'501'!$D$30:$M$30</definedName>
    <definedName name="OSRRefD21_0_9x" localSheetId="39">'Div 2'!$D$28:$M$28</definedName>
    <definedName name="OSRRefD21_0_9x" localSheetId="47">'Div 3'!$D$136:$M$136</definedName>
    <definedName name="OSRRefD21_0_9x" localSheetId="71">'Div 4'!$D$40:$M$40</definedName>
    <definedName name="OSRRefD21_0_9x" localSheetId="93">'Div 5'!$D$30:$M$30</definedName>
    <definedName name="OSRRefD21_0_9x" localSheetId="62">'Div 6'!$D$61:$M$61</definedName>
    <definedName name="OSRRefD21_0_9x" localSheetId="2">Summary!$D$166:$M$166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'300'!$D$123:$D$132</definedName>
    <definedName name="OSRRefD21_0x_0" localSheetId="49">'300 &amp; 317'!$D$147:$D$156</definedName>
    <definedName name="OSRRefD21_0x_0" localSheetId="50">'301'!$D$20:$D$29</definedName>
    <definedName name="OSRRefD21_0x_0" localSheetId="51">'306'!$D$19:$D$27</definedName>
    <definedName name="OSRRefD21_0x_0" localSheetId="53">'307'!$D$38:$D$45</definedName>
    <definedName name="OSRRefD21_0x_0" localSheetId="54">'308'!$D$58:$D$67</definedName>
    <definedName name="OSRRefD21_0x_0" localSheetId="65">'309'!$D$21:$D$28</definedName>
    <definedName name="OSRRefD21_0x_0" localSheetId="64">'310'!$D$29:$D$37</definedName>
    <definedName name="OSRRefD21_0x_0" localSheetId="72">'310 &amp; 491'!$D$35:$D$43</definedName>
    <definedName name="OSRRefD21_0x_0" localSheetId="55">'311'!$D$57:$D$66</definedName>
    <definedName name="OSRRefD21_0x_0" localSheetId="66">'313'!$D$24:$D$32</definedName>
    <definedName name="OSRRefD21_0x_0" localSheetId="58">'315'!$D$80:$D$88</definedName>
    <definedName name="OSRRefD21_0x_0" localSheetId="61">'316'!$D$31:$D$39</definedName>
    <definedName name="OSRRefD21_0x_0" localSheetId="63">'317'!$D$52:$D$61</definedName>
    <definedName name="OSRRefD21_0x_0" localSheetId="67">'321'!$D$23:$D$31</definedName>
    <definedName name="OSRRefD21_0x_0" localSheetId="68">'322'!$D$22:$D$29</definedName>
    <definedName name="OSRRefD21_0x_0" localSheetId="56">'324'!$D$26:$D$33</definedName>
    <definedName name="OSRRefD21_0x_0" localSheetId="69">'325'!$D$21:$D$28</definedName>
    <definedName name="OSRRefD21_0x_0" localSheetId="59">'326'!$D$47:$D$55</definedName>
    <definedName name="OSRRefD21_0x_0" localSheetId="70">'327'!$D$23</definedName>
    <definedName name="OSRRefD21_0x_0" localSheetId="52">'330'!$D$41:$D$49</definedName>
    <definedName name="OSRRefD21_0x_0" localSheetId="57">'331'!$D$81:$D$89</definedName>
    <definedName name="OSRRefD21_0x_0" localSheetId="60">'332'!$D$33:$D$41</definedName>
    <definedName name="OSRRefD21_0x_0" localSheetId="74">'405'!$D$23:$D$30</definedName>
    <definedName name="OSRRefD21_0x_0" localSheetId="75">'406'!$D$19</definedName>
    <definedName name="OSRRefD21_0x_0" localSheetId="76">'411'!$D$19:$D$27</definedName>
    <definedName name="OSRRefD21_0x_0" localSheetId="77">'412'!$D$21:$D$28</definedName>
    <definedName name="OSRRefD21_0x_0" localSheetId="78">'413'!$D$22:$D$30</definedName>
    <definedName name="OSRRefD21_0x_0" localSheetId="79">'414'!$D$24:$D$32</definedName>
    <definedName name="OSRRefD21_0x_0" localSheetId="80">'415'!$D$26:$D$34</definedName>
    <definedName name="OSRRefD21_0x_0" localSheetId="81">'418'!$D$23:$D$30</definedName>
    <definedName name="OSRRefD21_0x_0" localSheetId="82">'420'!$D$21</definedName>
    <definedName name="OSRRefD21_0x_0" localSheetId="83">'423'!$D$19:$D$26</definedName>
    <definedName name="OSRRefD21_0x_0" localSheetId="84">'424'!$D$19</definedName>
    <definedName name="OSRRefD21_0x_0" localSheetId="85">'425'!$D$20:$D$24</definedName>
    <definedName name="OSRRefD21_0x_0" localSheetId="88">'430'!$D$19:$D$27</definedName>
    <definedName name="OSRRefD21_0x_0" localSheetId="89">'433'!$D$26:$D$35</definedName>
    <definedName name="OSRRefD21_0x_0" localSheetId="90">'435'!$D$19</definedName>
    <definedName name="OSRRefD21_0x_0" localSheetId="91">'444'!$D$26:$D$35</definedName>
    <definedName name="OSRRefD21_0x_0" localSheetId="92">'450'!$D$22:$D$31</definedName>
    <definedName name="OSRRefD21_0x_0" localSheetId="73">'491'!$D$29:$D$37</definedName>
    <definedName name="OSRRefD21_0x_0" localSheetId="87">'492'!$D$26:$D$35</definedName>
    <definedName name="OSRRefD21_0x_0" localSheetId="94">'501'!$D$21:$D$30</definedName>
    <definedName name="OSRRefD21_0x_0" localSheetId="39">'Div 2'!$D$19:$D$29</definedName>
    <definedName name="OSRRefD21_0x_0" localSheetId="47">'Div 3'!$D$127:$D$136</definedName>
    <definedName name="OSRRefD21_0x_0" localSheetId="71">'Div 4'!$D$31:$D$40</definedName>
    <definedName name="OSRRefD21_0x_0" localSheetId="93">'Div 5'!$D$21:$D$30</definedName>
    <definedName name="OSRRefD21_0x_0" localSheetId="62">'Div 6'!$D$52:$D$61</definedName>
    <definedName name="OSRRefD21_0x_0" localSheetId="2">Summary!$D$157:$D$166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'300'!$E$123:$E$132</definedName>
    <definedName name="OSRRefD21_0x_1" localSheetId="49">'300 &amp; 317'!$E$147:$E$156</definedName>
    <definedName name="OSRRefD21_0x_1" localSheetId="50">'301'!$E$20:$E$29</definedName>
    <definedName name="OSRRefD21_0x_1" localSheetId="51">'306'!$E$19:$E$27</definedName>
    <definedName name="OSRRefD21_0x_1" localSheetId="53">'307'!$E$38:$E$45</definedName>
    <definedName name="OSRRefD21_0x_1" localSheetId="54">'308'!$E$58:$E$67</definedName>
    <definedName name="OSRRefD21_0x_1" localSheetId="65">'309'!$E$21:$E$28</definedName>
    <definedName name="OSRRefD21_0x_1" localSheetId="64">'310'!$E$29:$E$37</definedName>
    <definedName name="OSRRefD21_0x_1" localSheetId="72">'310 &amp; 491'!$E$35:$E$43</definedName>
    <definedName name="OSRRefD21_0x_1" localSheetId="55">'311'!$E$57:$E$66</definedName>
    <definedName name="OSRRefD21_0x_1" localSheetId="66">'313'!$E$24:$E$32</definedName>
    <definedName name="OSRRefD21_0x_1" localSheetId="58">'315'!$E$80:$E$88</definedName>
    <definedName name="OSRRefD21_0x_1" localSheetId="61">'316'!$E$31:$E$39</definedName>
    <definedName name="OSRRefD21_0x_1" localSheetId="63">'317'!$E$52:$E$61</definedName>
    <definedName name="OSRRefD21_0x_1" localSheetId="67">'321'!$E$23:$E$31</definedName>
    <definedName name="OSRRefD21_0x_1" localSheetId="68">'322'!$E$22:$E$29</definedName>
    <definedName name="OSRRefD21_0x_1" localSheetId="56">'324'!$E$26:$E$33</definedName>
    <definedName name="OSRRefD21_0x_1" localSheetId="69">'325'!$E$21:$E$28</definedName>
    <definedName name="OSRRefD21_0x_1" localSheetId="59">'326'!$E$47:$E$55</definedName>
    <definedName name="OSRRefD21_0x_1" localSheetId="70">'327'!$E$23</definedName>
    <definedName name="OSRRefD21_0x_1" localSheetId="52">'330'!$E$41:$E$49</definedName>
    <definedName name="OSRRefD21_0x_1" localSheetId="57">'331'!$E$81:$E$89</definedName>
    <definedName name="OSRRefD21_0x_1" localSheetId="60">'332'!$E$33:$E$41</definedName>
    <definedName name="OSRRefD21_0x_1" localSheetId="74">'405'!$E$23:$E$30</definedName>
    <definedName name="OSRRefD21_0x_1" localSheetId="75">'406'!$E$19</definedName>
    <definedName name="OSRRefD21_0x_1" localSheetId="76">'411'!$E$19:$E$27</definedName>
    <definedName name="OSRRefD21_0x_1" localSheetId="77">'412'!$E$21:$E$28</definedName>
    <definedName name="OSRRefD21_0x_1" localSheetId="78">'413'!$E$22:$E$30</definedName>
    <definedName name="OSRRefD21_0x_1" localSheetId="79">'414'!$E$24:$E$32</definedName>
    <definedName name="OSRRefD21_0x_1" localSheetId="80">'415'!$E$26:$E$34</definedName>
    <definedName name="OSRRefD21_0x_1" localSheetId="81">'418'!$E$23:$E$30</definedName>
    <definedName name="OSRRefD21_0x_1" localSheetId="82">'420'!$E$21</definedName>
    <definedName name="OSRRefD21_0x_1" localSheetId="83">'423'!$E$19:$E$26</definedName>
    <definedName name="OSRRefD21_0x_1" localSheetId="84">'424'!$E$19</definedName>
    <definedName name="OSRRefD21_0x_1" localSheetId="85">'425'!$E$20:$E$24</definedName>
    <definedName name="OSRRefD21_0x_1" localSheetId="88">'430'!$E$19:$E$27</definedName>
    <definedName name="OSRRefD21_0x_1" localSheetId="89">'433'!$E$26:$E$35</definedName>
    <definedName name="OSRRefD21_0x_1" localSheetId="90">'435'!$E$19</definedName>
    <definedName name="OSRRefD21_0x_1" localSheetId="91">'444'!$E$26:$E$35</definedName>
    <definedName name="OSRRefD21_0x_1" localSheetId="92">'450'!$E$22:$E$31</definedName>
    <definedName name="OSRRefD21_0x_1" localSheetId="73">'491'!$E$29:$E$37</definedName>
    <definedName name="OSRRefD21_0x_1" localSheetId="87">'492'!$E$26:$E$35</definedName>
    <definedName name="OSRRefD21_0x_1" localSheetId="94">'501'!$E$21:$E$30</definedName>
    <definedName name="OSRRefD21_0x_1" localSheetId="39">'Div 2'!$E$19:$E$29</definedName>
    <definedName name="OSRRefD21_0x_1" localSheetId="47">'Div 3'!$E$127:$E$136</definedName>
    <definedName name="OSRRefD21_0x_1" localSheetId="71">'Div 4'!$E$31:$E$40</definedName>
    <definedName name="OSRRefD21_0x_1" localSheetId="93">'Div 5'!$E$21:$E$30</definedName>
    <definedName name="OSRRefD21_0x_1" localSheetId="62">'Div 6'!$E$52:$E$61</definedName>
    <definedName name="OSRRefD21_0x_1" localSheetId="2">Summary!$E$157:$E$166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'300'!$F$123:$F$132</definedName>
    <definedName name="OSRRefD21_0x_2" localSheetId="49">'300 &amp; 317'!$F$147:$F$156</definedName>
    <definedName name="OSRRefD21_0x_2" localSheetId="50">'301'!$F$20:$F$29</definedName>
    <definedName name="OSRRefD21_0x_2" localSheetId="51">'306'!$F$19:$F$27</definedName>
    <definedName name="OSRRefD21_0x_2" localSheetId="53">'307'!$F$38:$F$45</definedName>
    <definedName name="OSRRefD21_0x_2" localSheetId="54">'308'!$F$58:$F$67</definedName>
    <definedName name="OSRRefD21_0x_2" localSheetId="65">'309'!$F$21:$F$28</definedName>
    <definedName name="OSRRefD21_0x_2" localSheetId="64">'310'!$F$29:$F$37</definedName>
    <definedName name="OSRRefD21_0x_2" localSheetId="72">'310 &amp; 491'!$F$35:$F$43</definedName>
    <definedName name="OSRRefD21_0x_2" localSheetId="55">'311'!$F$57:$F$66</definedName>
    <definedName name="OSRRefD21_0x_2" localSheetId="66">'313'!$F$24:$F$32</definedName>
    <definedName name="OSRRefD21_0x_2" localSheetId="58">'315'!$F$80:$F$88</definedName>
    <definedName name="OSRRefD21_0x_2" localSheetId="61">'316'!$F$31:$F$39</definedName>
    <definedName name="OSRRefD21_0x_2" localSheetId="63">'317'!$F$52:$F$61</definedName>
    <definedName name="OSRRefD21_0x_2" localSheetId="67">'321'!$F$23:$F$31</definedName>
    <definedName name="OSRRefD21_0x_2" localSheetId="68">'322'!$F$22:$F$29</definedName>
    <definedName name="OSRRefD21_0x_2" localSheetId="56">'324'!$F$26:$F$33</definedName>
    <definedName name="OSRRefD21_0x_2" localSheetId="69">'325'!$F$21:$F$28</definedName>
    <definedName name="OSRRefD21_0x_2" localSheetId="59">'326'!$F$47:$F$55</definedName>
    <definedName name="OSRRefD21_0x_2" localSheetId="70">'327'!$F$23</definedName>
    <definedName name="OSRRefD21_0x_2" localSheetId="52">'330'!$F$41:$F$49</definedName>
    <definedName name="OSRRefD21_0x_2" localSheetId="57">'331'!$F$81:$F$89</definedName>
    <definedName name="OSRRefD21_0x_2" localSheetId="60">'332'!$F$33:$F$41</definedName>
    <definedName name="OSRRefD21_0x_2" localSheetId="74">'405'!$F$23:$F$30</definedName>
    <definedName name="OSRRefD21_0x_2" localSheetId="75">'406'!$F$19</definedName>
    <definedName name="OSRRefD21_0x_2" localSheetId="76">'411'!$F$19:$F$27</definedName>
    <definedName name="OSRRefD21_0x_2" localSheetId="77">'412'!$F$21:$F$28</definedName>
    <definedName name="OSRRefD21_0x_2" localSheetId="78">'413'!$F$22:$F$30</definedName>
    <definedName name="OSRRefD21_0x_2" localSheetId="79">'414'!$F$24:$F$32</definedName>
    <definedName name="OSRRefD21_0x_2" localSheetId="80">'415'!$F$26:$F$34</definedName>
    <definedName name="OSRRefD21_0x_2" localSheetId="81">'418'!$F$23:$F$30</definedName>
    <definedName name="OSRRefD21_0x_2" localSheetId="82">'420'!$F$21</definedName>
    <definedName name="OSRRefD21_0x_2" localSheetId="83">'423'!$F$19:$F$26</definedName>
    <definedName name="OSRRefD21_0x_2" localSheetId="84">'424'!$F$19</definedName>
    <definedName name="OSRRefD21_0x_2" localSheetId="85">'425'!$F$20:$F$24</definedName>
    <definedName name="OSRRefD21_0x_2" localSheetId="88">'430'!$F$19:$F$27</definedName>
    <definedName name="OSRRefD21_0x_2" localSheetId="89">'433'!$F$26:$F$35</definedName>
    <definedName name="OSRRefD21_0x_2" localSheetId="90">'435'!$F$19</definedName>
    <definedName name="OSRRefD21_0x_2" localSheetId="91">'444'!$F$26:$F$35</definedName>
    <definedName name="OSRRefD21_0x_2" localSheetId="92">'450'!$F$22:$F$31</definedName>
    <definedName name="OSRRefD21_0x_2" localSheetId="73">'491'!$F$29:$F$37</definedName>
    <definedName name="OSRRefD21_0x_2" localSheetId="87">'492'!$F$26:$F$35</definedName>
    <definedName name="OSRRefD21_0x_2" localSheetId="94">'501'!$F$21:$F$30</definedName>
    <definedName name="OSRRefD21_0x_2" localSheetId="39">'Div 2'!$F$19:$F$29</definedName>
    <definedName name="OSRRefD21_0x_2" localSheetId="47">'Div 3'!$F$127:$F$136</definedName>
    <definedName name="OSRRefD21_0x_2" localSheetId="71">'Div 4'!$F$31:$F$40</definedName>
    <definedName name="OSRRefD21_0x_2" localSheetId="93">'Div 5'!$F$21:$F$30</definedName>
    <definedName name="OSRRefD21_0x_2" localSheetId="62">'Div 6'!$F$52:$F$61</definedName>
    <definedName name="OSRRefD21_0x_2" localSheetId="2">Summary!$F$157:$F$166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'300'!$G$123:$G$132</definedName>
    <definedName name="OSRRefD21_0x_3" localSheetId="49">'300 &amp; 317'!$G$147:$G$156</definedName>
    <definedName name="OSRRefD21_0x_3" localSheetId="50">'301'!$G$20:$G$29</definedName>
    <definedName name="OSRRefD21_0x_3" localSheetId="51">'306'!$G$19:$G$27</definedName>
    <definedName name="OSRRefD21_0x_3" localSheetId="53">'307'!$G$38:$G$45</definedName>
    <definedName name="OSRRefD21_0x_3" localSheetId="54">'308'!$G$58:$G$67</definedName>
    <definedName name="OSRRefD21_0x_3" localSheetId="65">'309'!$G$21:$G$28</definedName>
    <definedName name="OSRRefD21_0x_3" localSheetId="64">'310'!$G$29:$G$37</definedName>
    <definedName name="OSRRefD21_0x_3" localSheetId="72">'310 &amp; 491'!$G$35:$G$43</definedName>
    <definedName name="OSRRefD21_0x_3" localSheetId="55">'311'!$G$57:$G$66</definedName>
    <definedName name="OSRRefD21_0x_3" localSheetId="66">'313'!$G$24:$G$32</definedName>
    <definedName name="OSRRefD21_0x_3" localSheetId="58">'315'!$G$80:$G$88</definedName>
    <definedName name="OSRRefD21_0x_3" localSheetId="61">'316'!$G$31:$G$39</definedName>
    <definedName name="OSRRefD21_0x_3" localSheetId="63">'317'!$G$52:$G$61</definedName>
    <definedName name="OSRRefD21_0x_3" localSheetId="67">'321'!$G$23:$G$31</definedName>
    <definedName name="OSRRefD21_0x_3" localSheetId="68">'322'!$G$22:$G$29</definedName>
    <definedName name="OSRRefD21_0x_3" localSheetId="56">'324'!$G$26:$G$33</definedName>
    <definedName name="OSRRefD21_0x_3" localSheetId="69">'325'!$G$21:$G$28</definedName>
    <definedName name="OSRRefD21_0x_3" localSheetId="59">'326'!$G$47:$G$55</definedName>
    <definedName name="OSRRefD21_0x_3" localSheetId="70">'327'!$G$23</definedName>
    <definedName name="OSRRefD21_0x_3" localSheetId="52">'330'!$G$41:$G$49</definedName>
    <definedName name="OSRRefD21_0x_3" localSheetId="57">'331'!$G$81:$G$89</definedName>
    <definedName name="OSRRefD21_0x_3" localSheetId="60">'332'!$G$33:$G$41</definedName>
    <definedName name="OSRRefD21_0x_3" localSheetId="74">'405'!$G$23:$G$30</definedName>
    <definedName name="OSRRefD21_0x_3" localSheetId="75">'406'!$G$19</definedName>
    <definedName name="OSRRefD21_0x_3" localSheetId="76">'411'!$G$19:$G$27</definedName>
    <definedName name="OSRRefD21_0x_3" localSheetId="77">'412'!$G$21:$G$28</definedName>
    <definedName name="OSRRefD21_0x_3" localSheetId="78">'413'!$G$22:$G$30</definedName>
    <definedName name="OSRRefD21_0x_3" localSheetId="79">'414'!$G$24:$G$32</definedName>
    <definedName name="OSRRefD21_0x_3" localSheetId="80">'415'!$G$26:$G$34</definedName>
    <definedName name="OSRRefD21_0x_3" localSheetId="81">'418'!$G$23:$G$30</definedName>
    <definedName name="OSRRefD21_0x_3" localSheetId="82">'420'!$G$21</definedName>
    <definedName name="OSRRefD21_0x_3" localSheetId="83">'423'!$G$19:$G$26</definedName>
    <definedName name="OSRRefD21_0x_3" localSheetId="84">'424'!$G$19</definedName>
    <definedName name="OSRRefD21_0x_3" localSheetId="85">'425'!$G$20:$G$24</definedName>
    <definedName name="OSRRefD21_0x_3" localSheetId="88">'430'!$G$19:$G$27</definedName>
    <definedName name="OSRRefD21_0x_3" localSheetId="89">'433'!$G$26:$G$35</definedName>
    <definedName name="OSRRefD21_0x_3" localSheetId="90">'435'!$G$19</definedName>
    <definedName name="OSRRefD21_0x_3" localSheetId="91">'444'!$G$26:$G$35</definedName>
    <definedName name="OSRRefD21_0x_3" localSheetId="92">'450'!$G$22:$G$31</definedName>
    <definedName name="OSRRefD21_0x_3" localSheetId="73">'491'!$G$29:$G$37</definedName>
    <definedName name="OSRRefD21_0x_3" localSheetId="87">'492'!$G$26:$G$35</definedName>
    <definedName name="OSRRefD21_0x_3" localSheetId="94">'501'!$G$21:$G$30</definedName>
    <definedName name="OSRRefD21_0x_3" localSheetId="39">'Div 2'!$G$19:$G$29</definedName>
    <definedName name="OSRRefD21_0x_3" localSheetId="47">'Div 3'!$G$127:$G$136</definedName>
    <definedName name="OSRRefD21_0x_3" localSheetId="71">'Div 4'!$G$31:$G$40</definedName>
    <definedName name="OSRRefD21_0x_3" localSheetId="93">'Div 5'!$G$21:$G$30</definedName>
    <definedName name="OSRRefD21_0x_3" localSheetId="62">'Div 6'!$G$52:$G$61</definedName>
    <definedName name="OSRRefD21_0x_3" localSheetId="2">Summary!$G$157:$G$166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'300'!$H$123:$H$132</definedName>
    <definedName name="OSRRefD21_0x_4" localSheetId="49">'300 &amp; 317'!$H$147:$H$156</definedName>
    <definedName name="OSRRefD21_0x_4" localSheetId="50">'301'!$H$20:$H$29</definedName>
    <definedName name="OSRRefD21_0x_4" localSheetId="51">'306'!$H$19:$H$27</definedName>
    <definedName name="OSRRefD21_0x_4" localSheetId="53">'307'!$H$38:$H$45</definedName>
    <definedName name="OSRRefD21_0x_4" localSheetId="54">'308'!$H$58:$H$67</definedName>
    <definedName name="OSRRefD21_0x_4" localSheetId="65">'309'!$H$21:$H$28</definedName>
    <definedName name="OSRRefD21_0x_4" localSheetId="64">'310'!$H$29:$H$37</definedName>
    <definedName name="OSRRefD21_0x_4" localSheetId="72">'310 &amp; 491'!$H$35:$H$43</definedName>
    <definedName name="OSRRefD21_0x_4" localSheetId="55">'311'!$H$57:$H$66</definedName>
    <definedName name="OSRRefD21_0x_4" localSheetId="66">'313'!$H$24:$H$32</definedName>
    <definedName name="OSRRefD21_0x_4" localSheetId="58">'315'!$H$80:$H$88</definedName>
    <definedName name="OSRRefD21_0x_4" localSheetId="61">'316'!$H$31:$H$39</definedName>
    <definedName name="OSRRefD21_0x_4" localSheetId="63">'317'!$H$52:$H$61</definedName>
    <definedName name="OSRRefD21_0x_4" localSheetId="67">'321'!$H$23:$H$31</definedName>
    <definedName name="OSRRefD21_0x_4" localSheetId="68">'322'!$H$22:$H$29</definedName>
    <definedName name="OSRRefD21_0x_4" localSheetId="56">'324'!$H$26:$H$33</definedName>
    <definedName name="OSRRefD21_0x_4" localSheetId="69">'325'!$H$21:$H$28</definedName>
    <definedName name="OSRRefD21_0x_4" localSheetId="59">'326'!$H$47:$H$55</definedName>
    <definedName name="OSRRefD21_0x_4" localSheetId="70">'327'!$H$23</definedName>
    <definedName name="OSRRefD21_0x_4" localSheetId="52">'330'!$H$41:$H$49</definedName>
    <definedName name="OSRRefD21_0x_4" localSheetId="57">'331'!$H$81:$H$89</definedName>
    <definedName name="OSRRefD21_0x_4" localSheetId="60">'332'!$H$33:$H$41</definedName>
    <definedName name="OSRRefD21_0x_4" localSheetId="74">'405'!$H$23:$H$30</definedName>
    <definedName name="OSRRefD21_0x_4" localSheetId="75">'406'!$H$19</definedName>
    <definedName name="OSRRefD21_0x_4" localSheetId="76">'411'!$H$19:$H$27</definedName>
    <definedName name="OSRRefD21_0x_4" localSheetId="77">'412'!$H$21:$H$28</definedName>
    <definedName name="OSRRefD21_0x_4" localSheetId="78">'413'!$H$22:$H$30</definedName>
    <definedName name="OSRRefD21_0x_4" localSheetId="79">'414'!$H$24:$H$32</definedName>
    <definedName name="OSRRefD21_0x_4" localSheetId="80">'415'!$H$26:$H$34</definedName>
    <definedName name="OSRRefD21_0x_4" localSheetId="81">'418'!$H$23:$H$30</definedName>
    <definedName name="OSRRefD21_0x_4" localSheetId="82">'420'!$H$21</definedName>
    <definedName name="OSRRefD21_0x_4" localSheetId="83">'423'!$H$19:$H$26</definedName>
    <definedName name="OSRRefD21_0x_4" localSheetId="84">'424'!$H$19</definedName>
    <definedName name="OSRRefD21_0x_4" localSheetId="85">'425'!$H$20:$H$24</definedName>
    <definedName name="OSRRefD21_0x_4" localSheetId="88">'430'!$H$19:$H$27</definedName>
    <definedName name="OSRRefD21_0x_4" localSheetId="89">'433'!$H$26:$H$35</definedName>
    <definedName name="OSRRefD21_0x_4" localSheetId="90">'435'!$H$19</definedName>
    <definedName name="OSRRefD21_0x_4" localSheetId="91">'444'!$H$26:$H$35</definedName>
    <definedName name="OSRRefD21_0x_4" localSheetId="92">'450'!$H$22:$H$31</definedName>
    <definedName name="OSRRefD21_0x_4" localSheetId="73">'491'!$H$29:$H$37</definedName>
    <definedName name="OSRRefD21_0x_4" localSheetId="87">'492'!$H$26:$H$35</definedName>
    <definedName name="OSRRefD21_0x_4" localSheetId="94">'501'!$H$21:$H$30</definedName>
    <definedName name="OSRRefD21_0x_4" localSheetId="39">'Div 2'!$H$19:$H$29</definedName>
    <definedName name="OSRRefD21_0x_4" localSheetId="47">'Div 3'!$H$127:$H$136</definedName>
    <definedName name="OSRRefD21_0x_4" localSheetId="71">'Div 4'!$H$31:$H$40</definedName>
    <definedName name="OSRRefD21_0x_4" localSheetId="93">'Div 5'!$H$21:$H$30</definedName>
    <definedName name="OSRRefD21_0x_4" localSheetId="62">'Div 6'!$H$52:$H$61</definedName>
    <definedName name="OSRRefD21_0x_4" localSheetId="2">Summary!$H$157:$H$166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'300'!$I$123:$I$132</definedName>
    <definedName name="OSRRefD21_0x_5" localSheetId="49">'300 &amp; 317'!$I$147:$I$156</definedName>
    <definedName name="OSRRefD21_0x_5" localSheetId="50">'301'!$I$20:$I$29</definedName>
    <definedName name="OSRRefD21_0x_5" localSheetId="51">'306'!$I$19:$I$27</definedName>
    <definedName name="OSRRefD21_0x_5" localSheetId="53">'307'!$I$38:$I$45</definedName>
    <definedName name="OSRRefD21_0x_5" localSheetId="54">'308'!$I$58:$I$67</definedName>
    <definedName name="OSRRefD21_0x_5" localSheetId="65">'309'!$I$21:$I$28</definedName>
    <definedName name="OSRRefD21_0x_5" localSheetId="64">'310'!$I$29:$I$37</definedName>
    <definedName name="OSRRefD21_0x_5" localSheetId="72">'310 &amp; 491'!$I$35:$I$43</definedName>
    <definedName name="OSRRefD21_0x_5" localSheetId="55">'311'!$I$57:$I$66</definedName>
    <definedName name="OSRRefD21_0x_5" localSheetId="66">'313'!$I$24:$I$32</definedName>
    <definedName name="OSRRefD21_0x_5" localSheetId="58">'315'!$I$80:$I$88</definedName>
    <definedName name="OSRRefD21_0x_5" localSheetId="61">'316'!$I$31:$I$39</definedName>
    <definedName name="OSRRefD21_0x_5" localSheetId="63">'317'!$I$52:$I$61</definedName>
    <definedName name="OSRRefD21_0x_5" localSheetId="67">'321'!$I$23:$I$31</definedName>
    <definedName name="OSRRefD21_0x_5" localSheetId="68">'322'!$I$22:$I$29</definedName>
    <definedName name="OSRRefD21_0x_5" localSheetId="56">'324'!$I$26:$I$33</definedName>
    <definedName name="OSRRefD21_0x_5" localSheetId="69">'325'!$I$21:$I$28</definedName>
    <definedName name="OSRRefD21_0x_5" localSheetId="59">'326'!$I$47:$I$55</definedName>
    <definedName name="OSRRefD21_0x_5" localSheetId="70">'327'!$I$23</definedName>
    <definedName name="OSRRefD21_0x_5" localSheetId="52">'330'!$I$41:$I$49</definedName>
    <definedName name="OSRRefD21_0x_5" localSheetId="57">'331'!$I$81:$I$89</definedName>
    <definedName name="OSRRefD21_0x_5" localSheetId="60">'332'!$I$33:$I$41</definedName>
    <definedName name="OSRRefD21_0x_5" localSheetId="74">'405'!$I$23:$I$30</definedName>
    <definedName name="OSRRefD21_0x_5" localSheetId="75">'406'!$I$19</definedName>
    <definedName name="OSRRefD21_0x_5" localSheetId="76">'411'!$I$19:$I$27</definedName>
    <definedName name="OSRRefD21_0x_5" localSheetId="77">'412'!$I$21:$I$28</definedName>
    <definedName name="OSRRefD21_0x_5" localSheetId="78">'413'!$I$22:$I$30</definedName>
    <definedName name="OSRRefD21_0x_5" localSheetId="79">'414'!$I$24:$I$32</definedName>
    <definedName name="OSRRefD21_0x_5" localSheetId="80">'415'!$I$26:$I$34</definedName>
    <definedName name="OSRRefD21_0x_5" localSheetId="81">'418'!$I$23:$I$30</definedName>
    <definedName name="OSRRefD21_0x_5" localSheetId="82">'420'!$I$21</definedName>
    <definedName name="OSRRefD21_0x_5" localSheetId="83">'423'!$I$19:$I$26</definedName>
    <definedName name="OSRRefD21_0x_5" localSheetId="84">'424'!$I$19</definedName>
    <definedName name="OSRRefD21_0x_5" localSheetId="85">'425'!$I$20:$I$24</definedName>
    <definedName name="OSRRefD21_0x_5" localSheetId="88">'430'!$I$19:$I$27</definedName>
    <definedName name="OSRRefD21_0x_5" localSheetId="89">'433'!$I$26:$I$35</definedName>
    <definedName name="OSRRefD21_0x_5" localSheetId="90">'435'!$I$19</definedName>
    <definedName name="OSRRefD21_0x_5" localSheetId="91">'444'!$I$26:$I$35</definedName>
    <definedName name="OSRRefD21_0x_5" localSheetId="92">'450'!$I$22:$I$31</definedName>
    <definedName name="OSRRefD21_0x_5" localSheetId="73">'491'!$I$29:$I$37</definedName>
    <definedName name="OSRRefD21_0x_5" localSheetId="87">'492'!$I$26:$I$35</definedName>
    <definedName name="OSRRefD21_0x_5" localSheetId="94">'501'!$I$21:$I$30</definedName>
    <definedName name="OSRRefD21_0x_5" localSheetId="39">'Div 2'!$I$19:$I$29</definedName>
    <definedName name="OSRRefD21_0x_5" localSheetId="47">'Div 3'!$I$127:$I$136</definedName>
    <definedName name="OSRRefD21_0x_5" localSheetId="71">'Div 4'!$I$31:$I$40</definedName>
    <definedName name="OSRRefD21_0x_5" localSheetId="93">'Div 5'!$I$21:$I$30</definedName>
    <definedName name="OSRRefD21_0x_5" localSheetId="62">'Div 6'!$I$52:$I$61</definedName>
    <definedName name="OSRRefD21_0x_5" localSheetId="2">Summary!$I$157:$I$166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'204'!$J$19:$J$28</definedName>
    <definedName name="OSRRefD21_0x_6" localSheetId="45">'205'!$J$19:$J$27</definedName>
    <definedName name="OSRRefD21_0x_6" localSheetId="46">'206'!$J$19:$J$27</definedName>
    <definedName name="OSRRefD21_0x_6" localSheetId="48">'300'!$J$123:$J$132</definedName>
    <definedName name="OSRRefD21_0x_6" localSheetId="49">'300 &amp; 317'!$J$147:$J$156</definedName>
    <definedName name="OSRRefD21_0x_6" localSheetId="50">'301'!$J$20:$J$29</definedName>
    <definedName name="OSRRefD21_0x_6" localSheetId="51">'306'!$J$19:$J$27</definedName>
    <definedName name="OSRRefD21_0x_6" localSheetId="53">'307'!$J$38:$J$45</definedName>
    <definedName name="OSRRefD21_0x_6" localSheetId="54">'308'!$J$58:$J$67</definedName>
    <definedName name="OSRRefD21_0x_6" localSheetId="65">'309'!$J$21:$J$28</definedName>
    <definedName name="OSRRefD21_0x_6" localSheetId="64">'310'!$J$29:$J$37</definedName>
    <definedName name="OSRRefD21_0x_6" localSheetId="72">'310 &amp; 491'!$J$35:$J$43</definedName>
    <definedName name="OSRRefD21_0x_6" localSheetId="55">'311'!$J$57:$J$66</definedName>
    <definedName name="OSRRefD21_0x_6" localSheetId="66">'313'!$J$24:$J$32</definedName>
    <definedName name="OSRRefD21_0x_6" localSheetId="58">'315'!$J$80:$J$88</definedName>
    <definedName name="OSRRefD21_0x_6" localSheetId="61">'316'!$J$31:$J$39</definedName>
    <definedName name="OSRRefD21_0x_6" localSheetId="63">'317'!$J$52:$J$61</definedName>
    <definedName name="OSRRefD21_0x_6" localSheetId="67">'321'!$J$23:$J$31</definedName>
    <definedName name="OSRRefD21_0x_6" localSheetId="68">'322'!$J$22:$J$29</definedName>
    <definedName name="OSRRefD21_0x_6" localSheetId="56">'324'!$J$26:$J$33</definedName>
    <definedName name="OSRRefD21_0x_6" localSheetId="69">'325'!$J$21:$J$28</definedName>
    <definedName name="OSRRefD21_0x_6" localSheetId="59">'326'!$J$47:$J$55</definedName>
    <definedName name="OSRRefD21_0x_6" localSheetId="70">'327'!$J$23</definedName>
    <definedName name="OSRRefD21_0x_6" localSheetId="52">'330'!$J$41:$J$49</definedName>
    <definedName name="OSRRefD21_0x_6" localSheetId="57">'331'!$J$81:$J$89</definedName>
    <definedName name="OSRRefD21_0x_6" localSheetId="60">'332'!$J$33:$J$41</definedName>
    <definedName name="OSRRefD21_0x_6" localSheetId="74">'405'!$J$23:$J$30</definedName>
    <definedName name="OSRRefD21_0x_6" localSheetId="75">'406'!$J$19</definedName>
    <definedName name="OSRRefD21_0x_6" localSheetId="76">'411'!$J$19:$J$27</definedName>
    <definedName name="OSRRefD21_0x_6" localSheetId="77">'412'!$J$21:$J$28</definedName>
    <definedName name="OSRRefD21_0x_6" localSheetId="78">'413'!$J$22:$J$30</definedName>
    <definedName name="OSRRefD21_0x_6" localSheetId="79">'414'!$J$24:$J$32</definedName>
    <definedName name="OSRRefD21_0x_6" localSheetId="80">'415'!$J$26:$J$34</definedName>
    <definedName name="OSRRefD21_0x_6" localSheetId="81">'418'!$J$23:$J$30</definedName>
    <definedName name="OSRRefD21_0x_6" localSheetId="82">'420'!$J$21</definedName>
    <definedName name="OSRRefD21_0x_6" localSheetId="83">'423'!$J$19:$J$26</definedName>
    <definedName name="OSRRefD21_0x_6" localSheetId="84">'424'!$J$19</definedName>
    <definedName name="OSRRefD21_0x_6" localSheetId="85">'425'!$J$20:$J$24</definedName>
    <definedName name="OSRRefD21_0x_6" localSheetId="88">'430'!$J$19:$J$27</definedName>
    <definedName name="OSRRefD21_0x_6" localSheetId="89">'433'!$J$26:$J$35</definedName>
    <definedName name="OSRRefD21_0x_6" localSheetId="90">'435'!$J$19</definedName>
    <definedName name="OSRRefD21_0x_6" localSheetId="91">'444'!$J$26:$J$35</definedName>
    <definedName name="OSRRefD21_0x_6" localSheetId="92">'450'!$J$22:$J$31</definedName>
    <definedName name="OSRRefD21_0x_6" localSheetId="73">'491'!$J$29:$J$37</definedName>
    <definedName name="OSRRefD21_0x_6" localSheetId="87">'492'!$J$26:$J$35</definedName>
    <definedName name="OSRRefD21_0x_6" localSheetId="94">'501'!$J$21:$J$30</definedName>
    <definedName name="OSRRefD21_0x_6" localSheetId="39">'Div 2'!$J$19:$J$29</definedName>
    <definedName name="OSRRefD21_0x_6" localSheetId="47">'Div 3'!$J$127:$J$136</definedName>
    <definedName name="OSRRefD21_0x_6" localSheetId="71">'Div 4'!$J$31:$J$40</definedName>
    <definedName name="OSRRefD21_0x_6" localSheetId="93">'Div 5'!$J$21:$J$30</definedName>
    <definedName name="OSRRefD21_0x_6" localSheetId="62">'Div 6'!$J$52:$J$61</definedName>
    <definedName name="OSRRefD21_0x_6" localSheetId="2">Summary!$J$157:$J$166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'204'!$K$19:$K$28</definedName>
    <definedName name="OSRRefD21_0x_7" localSheetId="45">'205'!$K$19:$K$27</definedName>
    <definedName name="OSRRefD21_0x_7" localSheetId="46">'206'!$K$19:$K$27</definedName>
    <definedName name="OSRRefD21_0x_7" localSheetId="48">'300'!$K$123:$K$132</definedName>
    <definedName name="OSRRefD21_0x_7" localSheetId="49">'300 &amp; 317'!$K$147:$K$156</definedName>
    <definedName name="OSRRefD21_0x_7" localSheetId="50">'301'!$K$20:$K$29</definedName>
    <definedName name="OSRRefD21_0x_7" localSheetId="51">'306'!$K$19:$K$27</definedName>
    <definedName name="OSRRefD21_0x_7" localSheetId="53">'307'!$K$38:$K$45</definedName>
    <definedName name="OSRRefD21_0x_7" localSheetId="54">'308'!$K$58:$K$67</definedName>
    <definedName name="OSRRefD21_0x_7" localSheetId="65">'309'!$K$21:$K$28</definedName>
    <definedName name="OSRRefD21_0x_7" localSheetId="64">'310'!$K$29:$K$37</definedName>
    <definedName name="OSRRefD21_0x_7" localSheetId="72">'310 &amp; 491'!$K$35:$K$43</definedName>
    <definedName name="OSRRefD21_0x_7" localSheetId="55">'311'!$K$57:$K$66</definedName>
    <definedName name="OSRRefD21_0x_7" localSheetId="66">'313'!$K$24:$K$32</definedName>
    <definedName name="OSRRefD21_0x_7" localSheetId="58">'315'!$K$80:$K$88</definedName>
    <definedName name="OSRRefD21_0x_7" localSheetId="61">'316'!$K$31:$K$39</definedName>
    <definedName name="OSRRefD21_0x_7" localSheetId="63">'317'!$K$52:$K$61</definedName>
    <definedName name="OSRRefD21_0x_7" localSheetId="67">'321'!$K$23:$K$31</definedName>
    <definedName name="OSRRefD21_0x_7" localSheetId="68">'322'!$K$22:$K$29</definedName>
    <definedName name="OSRRefD21_0x_7" localSheetId="56">'324'!$K$26:$K$33</definedName>
    <definedName name="OSRRefD21_0x_7" localSheetId="69">'325'!$K$21:$K$28</definedName>
    <definedName name="OSRRefD21_0x_7" localSheetId="59">'326'!$K$47:$K$55</definedName>
    <definedName name="OSRRefD21_0x_7" localSheetId="70">'327'!$K$23</definedName>
    <definedName name="OSRRefD21_0x_7" localSheetId="52">'330'!$K$41:$K$49</definedName>
    <definedName name="OSRRefD21_0x_7" localSheetId="57">'331'!$K$81:$K$89</definedName>
    <definedName name="OSRRefD21_0x_7" localSheetId="60">'332'!$K$33:$K$41</definedName>
    <definedName name="OSRRefD21_0x_7" localSheetId="74">'405'!$K$23:$K$30</definedName>
    <definedName name="OSRRefD21_0x_7" localSheetId="75">'406'!$K$19</definedName>
    <definedName name="OSRRefD21_0x_7" localSheetId="76">'411'!$K$19:$K$27</definedName>
    <definedName name="OSRRefD21_0x_7" localSheetId="77">'412'!$K$21:$K$28</definedName>
    <definedName name="OSRRefD21_0x_7" localSheetId="78">'413'!$K$22:$K$30</definedName>
    <definedName name="OSRRefD21_0x_7" localSheetId="79">'414'!$K$24:$K$32</definedName>
    <definedName name="OSRRefD21_0x_7" localSheetId="80">'415'!$K$26:$K$34</definedName>
    <definedName name="OSRRefD21_0x_7" localSheetId="81">'418'!$K$23:$K$30</definedName>
    <definedName name="OSRRefD21_0x_7" localSheetId="82">'420'!$K$21</definedName>
    <definedName name="OSRRefD21_0x_7" localSheetId="83">'423'!$K$19:$K$26</definedName>
    <definedName name="OSRRefD21_0x_7" localSheetId="84">'424'!$K$19</definedName>
    <definedName name="OSRRefD21_0x_7" localSheetId="85">'425'!$K$20:$K$24</definedName>
    <definedName name="OSRRefD21_0x_7" localSheetId="88">'430'!$K$19:$K$27</definedName>
    <definedName name="OSRRefD21_0x_7" localSheetId="89">'433'!$K$26:$K$35</definedName>
    <definedName name="OSRRefD21_0x_7" localSheetId="90">'435'!$K$19</definedName>
    <definedName name="OSRRefD21_0x_7" localSheetId="91">'444'!$K$26:$K$35</definedName>
    <definedName name="OSRRefD21_0x_7" localSheetId="92">'450'!$K$22:$K$31</definedName>
    <definedName name="OSRRefD21_0x_7" localSheetId="73">'491'!$K$29:$K$37</definedName>
    <definedName name="OSRRefD21_0x_7" localSheetId="87">'492'!$K$26:$K$35</definedName>
    <definedName name="OSRRefD21_0x_7" localSheetId="94">'501'!$K$21:$K$30</definedName>
    <definedName name="OSRRefD21_0x_7" localSheetId="39">'Div 2'!$K$19:$K$29</definedName>
    <definedName name="OSRRefD21_0x_7" localSheetId="47">'Div 3'!$K$127:$K$136</definedName>
    <definedName name="OSRRefD21_0x_7" localSheetId="71">'Div 4'!$K$31:$K$40</definedName>
    <definedName name="OSRRefD21_0x_7" localSheetId="93">'Div 5'!$K$21:$K$30</definedName>
    <definedName name="OSRRefD21_0x_7" localSheetId="62">'Div 6'!$K$52:$K$61</definedName>
    <definedName name="OSRRefD21_0x_7" localSheetId="2">Summary!$K$157:$K$166</definedName>
    <definedName name="OSRRefD21_0x_8" localSheetId="40">'200'!$L$19</definedName>
    <definedName name="OSRRefD21_0x_8" localSheetId="41">'201'!$L$19:$L$27</definedName>
    <definedName name="OSRRefD21_0x_8" localSheetId="42">'202'!$L$19:$L$27</definedName>
    <definedName name="OSRRefD21_0x_8" localSheetId="43">'203'!$L$19:$L$28</definedName>
    <definedName name="OSRRefD21_0x_8" localSheetId="44">'204'!$L$19:$L$28</definedName>
    <definedName name="OSRRefD21_0x_8" localSheetId="45">'205'!$L$19:$L$27</definedName>
    <definedName name="OSRRefD21_0x_8" localSheetId="46">'206'!$L$19:$L$27</definedName>
    <definedName name="OSRRefD21_0x_8" localSheetId="48">'300'!$L$123:$L$132</definedName>
    <definedName name="OSRRefD21_0x_8" localSheetId="49">'300 &amp; 317'!$L$147:$L$156</definedName>
    <definedName name="OSRRefD21_0x_8" localSheetId="50">'301'!$L$20:$L$29</definedName>
    <definedName name="OSRRefD21_0x_8" localSheetId="51">'306'!$L$19:$L$27</definedName>
    <definedName name="OSRRefD21_0x_8" localSheetId="53">'307'!$L$38:$L$45</definedName>
    <definedName name="OSRRefD21_0x_8" localSheetId="54">'308'!$L$58:$L$67</definedName>
    <definedName name="OSRRefD21_0x_8" localSheetId="65">'309'!$L$21:$L$28</definedName>
    <definedName name="OSRRefD21_0x_8" localSheetId="64">'310'!$L$29:$L$37</definedName>
    <definedName name="OSRRefD21_0x_8" localSheetId="72">'310 &amp; 491'!$L$35:$L$43</definedName>
    <definedName name="OSRRefD21_0x_8" localSheetId="55">'311'!$L$57:$L$66</definedName>
    <definedName name="OSRRefD21_0x_8" localSheetId="66">'313'!$L$24:$L$32</definedName>
    <definedName name="OSRRefD21_0x_8" localSheetId="58">'315'!$L$80:$L$88</definedName>
    <definedName name="OSRRefD21_0x_8" localSheetId="61">'316'!$L$31:$L$39</definedName>
    <definedName name="OSRRefD21_0x_8" localSheetId="63">'317'!$L$52:$L$61</definedName>
    <definedName name="OSRRefD21_0x_8" localSheetId="67">'321'!$L$23:$L$31</definedName>
    <definedName name="OSRRefD21_0x_8" localSheetId="68">'322'!$L$22:$L$29</definedName>
    <definedName name="OSRRefD21_0x_8" localSheetId="56">'324'!$L$26:$L$33</definedName>
    <definedName name="OSRRefD21_0x_8" localSheetId="69">'325'!$L$21:$L$28</definedName>
    <definedName name="OSRRefD21_0x_8" localSheetId="59">'326'!$L$47:$L$55</definedName>
    <definedName name="OSRRefD21_0x_8" localSheetId="70">'327'!$L$23</definedName>
    <definedName name="OSRRefD21_0x_8" localSheetId="52">'330'!$L$41:$L$49</definedName>
    <definedName name="OSRRefD21_0x_8" localSheetId="57">'331'!$L$81:$L$89</definedName>
    <definedName name="OSRRefD21_0x_8" localSheetId="60">'332'!$L$33:$L$41</definedName>
    <definedName name="OSRRefD21_0x_8" localSheetId="74">'405'!$L$23:$L$30</definedName>
    <definedName name="OSRRefD21_0x_8" localSheetId="75">'406'!$L$19</definedName>
    <definedName name="OSRRefD21_0x_8" localSheetId="76">'411'!$L$19:$L$27</definedName>
    <definedName name="OSRRefD21_0x_8" localSheetId="77">'412'!$L$21:$L$28</definedName>
    <definedName name="OSRRefD21_0x_8" localSheetId="78">'413'!$L$22:$L$30</definedName>
    <definedName name="OSRRefD21_0x_8" localSheetId="79">'414'!$L$24:$L$32</definedName>
    <definedName name="OSRRefD21_0x_8" localSheetId="80">'415'!$L$26:$L$34</definedName>
    <definedName name="OSRRefD21_0x_8" localSheetId="81">'418'!$L$23:$L$30</definedName>
    <definedName name="OSRRefD21_0x_8" localSheetId="82">'420'!$L$21</definedName>
    <definedName name="OSRRefD21_0x_8" localSheetId="83">'423'!$L$19:$L$26</definedName>
    <definedName name="OSRRefD21_0x_8" localSheetId="84">'424'!$L$19</definedName>
    <definedName name="OSRRefD21_0x_8" localSheetId="85">'425'!$L$20:$L$24</definedName>
    <definedName name="OSRRefD21_0x_8" localSheetId="88">'430'!$L$19:$L$27</definedName>
    <definedName name="OSRRefD21_0x_8" localSheetId="89">'433'!$L$26:$L$35</definedName>
    <definedName name="OSRRefD21_0x_8" localSheetId="90">'435'!$L$19</definedName>
    <definedName name="OSRRefD21_0x_8" localSheetId="91">'444'!$L$26:$L$35</definedName>
    <definedName name="OSRRefD21_0x_8" localSheetId="92">'450'!$L$22:$L$31</definedName>
    <definedName name="OSRRefD21_0x_8" localSheetId="73">'491'!$L$29:$L$37</definedName>
    <definedName name="OSRRefD21_0x_8" localSheetId="87">'492'!$L$26:$L$35</definedName>
    <definedName name="OSRRefD21_0x_8" localSheetId="94">'501'!$L$21:$L$30</definedName>
    <definedName name="OSRRefD21_0x_8" localSheetId="39">'Div 2'!$L$19:$L$29</definedName>
    <definedName name="OSRRefD21_0x_8" localSheetId="47">'Div 3'!$L$127:$L$136</definedName>
    <definedName name="OSRRefD21_0x_8" localSheetId="71">'Div 4'!$L$31:$L$40</definedName>
    <definedName name="OSRRefD21_0x_8" localSheetId="93">'Div 5'!$L$21:$L$30</definedName>
    <definedName name="OSRRefD21_0x_8" localSheetId="62">'Div 6'!$L$52:$L$61</definedName>
    <definedName name="OSRRefD21_0x_8" localSheetId="2">Summary!$L$157:$L$166</definedName>
    <definedName name="OSRRefD21_0x_9" localSheetId="40">'200'!$M$19</definedName>
    <definedName name="OSRRefD21_0x_9" localSheetId="41">'201'!$M$19:$M$27</definedName>
    <definedName name="OSRRefD21_0x_9" localSheetId="42">'202'!$M$19:$M$27</definedName>
    <definedName name="OSRRefD21_0x_9" localSheetId="43">'203'!$M$19:$M$28</definedName>
    <definedName name="OSRRefD21_0x_9" localSheetId="44">'204'!$M$19:$M$28</definedName>
    <definedName name="OSRRefD21_0x_9" localSheetId="45">'205'!$M$19:$M$27</definedName>
    <definedName name="OSRRefD21_0x_9" localSheetId="46">'206'!$M$19:$M$27</definedName>
    <definedName name="OSRRefD21_0x_9" localSheetId="48">'300'!$M$123:$M$132</definedName>
    <definedName name="OSRRefD21_0x_9" localSheetId="49">'300 &amp; 317'!$M$147:$M$156</definedName>
    <definedName name="OSRRefD21_0x_9" localSheetId="50">'301'!$M$20:$M$29</definedName>
    <definedName name="OSRRefD21_0x_9" localSheetId="51">'306'!$M$19:$M$27</definedName>
    <definedName name="OSRRefD21_0x_9" localSheetId="53">'307'!$M$38:$M$45</definedName>
    <definedName name="OSRRefD21_0x_9" localSheetId="54">'308'!$M$58:$M$67</definedName>
    <definedName name="OSRRefD21_0x_9" localSheetId="65">'309'!$M$21:$M$28</definedName>
    <definedName name="OSRRefD21_0x_9" localSheetId="64">'310'!$M$29:$M$37</definedName>
    <definedName name="OSRRefD21_0x_9" localSheetId="72">'310 &amp; 491'!$M$35:$M$43</definedName>
    <definedName name="OSRRefD21_0x_9" localSheetId="55">'311'!$M$57:$M$66</definedName>
    <definedName name="OSRRefD21_0x_9" localSheetId="66">'313'!$M$24:$M$32</definedName>
    <definedName name="OSRRefD21_0x_9" localSheetId="58">'315'!$M$80:$M$88</definedName>
    <definedName name="OSRRefD21_0x_9" localSheetId="61">'316'!$M$31:$M$39</definedName>
    <definedName name="OSRRefD21_0x_9" localSheetId="63">'317'!$M$52:$M$61</definedName>
    <definedName name="OSRRefD21_0x_9" localSheetId="67">'321'!$M$23:$M$31</definedName>
    <definedName name="OSRRefD21_0x_9" localSheetId="68">'322'!$M$22:$M$29</definedName>
    <definedName name="OSRRefD21_0x_9" localSheetId="56">'324'!$M$26:$M$33</definedName>
    <definedName name="OSRRefD21_0x_9" localSheetId="69">'325'!$M$21:$M$28</definedName>
    <definedName name="OSRRefD21_0x_9" localSheetId="59">'326'!$M$47:$M$55</definedName>
    <definedName name="OSRRefD21_0x_9" localSheetId="70">'327'!$M$23</definedName>
    <definedName name="OSRRefD21_0x_9" localSheetId="52">'330'!$M$41:$M$49</definedName>
    <definedName name="OSRRefD21_0x_9" localSheetId="57">'331'!$M$81:$M$89</definedName>
    <definedName name="OSRRefD21_0x_9" localSheetId="60">'332'!$M$33:$M$41</definedName>
    <definedName name="OSRRefD21_0x_9" localSheetId="74">'405'!$M$23:$M$30</definedName>
    <definedName name="OSRRefD21_0x_9" localSheetId="75">'406'!$M$19</definedName>
    <definedName name="OSRRefD21_0x_9" localSheetId="76">'411'!$M$19:$M$27</definedName>
    <definedName name="OSRRefD21_0x_9" localSheetId="77">'412'!$M$21:$M$28</definedName>
    <definedName name="OSRRefD21_0x_9" localSheetId="78">'413'!$M$22:$M$30</definedName>
    <definedName name="OSRRefD21_0x_9" localSheetId="79">'414'!$M$24:$M$32</definedName>
    <definedName name="OSRRefD21_0x_9" localSheetId="80">'415'!$M$26:$M$34</definedName>
    <definedName name="OSRRefD21_0x_9" localSheetId="81">'418'!$M$23:$M$30</definedName>
    <definedName name="OSRRefD21_0x_9" localSheetId="82">'420'!$M$21</definedName>
    <definedName name="OSRRefD21_0x_9" localSheetId="83">'423'!$M$19:$M$26</definedName>
    <definedName name="OSRRefD21_0x_9" localSheetId="84">'424'!$M$19</definedName>
    <definedName name="OSRRefD21_0x_9" localSheetId="85">'425'!$M$20:$M$24</definedName>
    <definedName name="OSRRefD21_0x_9" localSheetId="88">'430'!$M$19:$M$27</definedName>
    <definedName name="OSRRefD21_0x_9" localSheetId="89">'433'!$M$26:$M$35</definedName>
    <definedName name="OSRRefD21_0x_9" localSheetId="90">'435'!$M$19</definedName>
    <definedName name="OSRRefD21_0x_9" localSheetId="91">'444'!$M$26:$M$35</definedName>
    <definedName name="OSRRefD21_0x_9" localSheetId="92">'450'!$M$22:$M$31</definedName>
    <definedName name="OSRRefD21_0x_9" localSheetId="73">'491'!$M$29:$M$37</definedName>
    <definedName name="OSRRefD21_0x_9" localSheetId="87">'492'!$M$26:$M$35</definedName>
    <definedName name="OSRRefD21_0x_9" localSheetId="94">'501'!$M$21:$M$30</definedName>
    <definedName name="OSRRefD21_0x_9" localSheetId="39">'Div 2'!$M$19:$M$29</definedName>
    <definedName name="OSRRefD21_0x_9" localSheetId="47">'Div 3'!$M$127:$M$136</definedName>
    <definedName name="OSRRefD21_0x_9" localSheetId="71">'Div 4'!$M$31:$M$40</definedName>
    <definedName name="OSRRefD21_0x_9" localSheetId="93">'Div 5'!$M$21:$M$30</definedName>
    <definedName name="OSRRefD21_0x_9" localSheetId="62">'Div 6'!$M$52:$M$61</definedName>
    <definedName name="OSRRefD21_0x_9" localSheetId="2">Summary!$M$157:$M$166</definedName>
    <definedName name="OSRRefD21_1_0x" localSheetId="40">'200'!$D$21:$M$21</definedName>
    <definedName name="OSRRefD21_1_0x" localSheetId="41">'201'!$D$29:$M$29</definedName>
    <definedName name="OSRRefD21_1_0x" localSheetId="42">'202'!$D$29:$M$29</definedName>
    <definedName name="OSRRefD21_1_0x" localSheetId="43">'203'!$D$30:$M$30</definedName>
    <definedName name="OSRRefD21_1_0x" localSheetId="44">'204'!$D$30:$M$30</definedName>
    <definedName name="OSRRefD21_1_0x" localSheetId="45">'205'!$D$29:$M$29</definedName>
    <definedName name="OSRRefD21_1_0x" localSheetId="46">'206'!$D$29:$M$29</definedName>
    <definedName name="OSRRefD21_1_0x" localSheetId="48">'300'!$D$134:$M$134</definedName>
    <definedName name="OSRRefD21_1_0x" localSheetId="49">'300 &amp; 317'!$D$158:$M$158</definedName>
    <definedName name="OSRRefD21_1_0x" localSheetId="50">'301'!$D$31:$M$31</definedName>
    <definedName name="OSRRefD21_1_0x" localSheetId="51">'306'!$D$29:$M$29</definedName>
    <definedName name="OSRRefD21_1_0x" localSheetId="53">'307'!$D$47:$M$47</definedName>
    <definedName name="OSRRefD21_1_0x" localSheetId="54">'308'!$D$69:$M$69</definedName>
    <definedName name="OSRRefD21_1_0x" localSheetId="65">'309'!$D$30:$M$30</definedName>
    <definedName name="OSRRefD21_1_0x" localSheetId="64">'310'!$D$39:$M$39</definedName>
    <definedName name="OSRRefD21_1_0x" localSheetId="72">'310 &amp; 491'!$D$45:$M$45</definedName>
    <definedName name="OSRRefD21_1_0x" localSheetId="55">'311'!$D$68:$M$68</definedName>
    <definedName name="OSRRefD21_1_0x" localSheetId="66">'313'!$D$34:$M$34</definedName>
    <definedName name="OSRRefD21_1_0x" localSheetId="58">'315'!$D$90:$M$90</definedName>
    <definedName name="OSRRefD21_1_0x" localSheetId="61">'316'!$D$41:$M$41</definedName>
    <definedName name="OSRRefD21_1_0x" localSheetId="63">'317'!$D$63:$M$63</definedName>
    <definedName name="OSRRefD21_1_0x" localSheetId="67">'321'!$D$33:$M$33</definedName>
    <definedName name="OSRRefD21_1_0x" localSheetId="68">'322'!$D$31:$M$31</definedName>
    <definedName name="OSRRefD21_1_0x" localSheetId="56">'324'!$D$35:$M$35</definedName>
    <definedName name="OSRRefD21_1_0x" localSheetId="69">'325'!$D$30:$M$30</definedName>
    <definedName name="OSRRefD21_1_0x" localSheetId="59">'326'!$D$57:$M$57</definedName>
    <definedName name="OSRRefD21_1_0x" localSheetId="70">'327'!$D$25:$M$25</definedName>
    <definedName name="OSRRefD21_1_0x" localSheetId="52">'330'!$D$51:$M$51</definedName>
    <definedName name="OSRRefD21_1_0x" localSheetId="57">'331'!$D$91:$M$91</definedName>
    <definedName name="OSRRefD21_1_0x" localSheetId="60">'332'!$D$43:$M$43</definedName>
    <definedName name="OSRRefD21_1_0x" localSheetId="74">'405'!$D$32:$M$32</definedName>
    <definedName name="OSRRefD21_1_0x" localSheetId="75">'406'!$D$21:$M$21</definedName>
    <definedName name="OSRRefD21_1_0x" localSheetId="76">'411'!$D$29:$M$29</definedName>
    <definedName name="OSRRefD21_1_0x" localSheetId="77">'412'!$D$30:$M$30</definedName>
    <definedName name="OSRRefD21_1_0x" localSheetId="78">'413'!$D$32:$M$32</definedName>
    <definedName name="OSRRefD21_1_0x" localSheetId="79">'414'!$D$34:$M$34</definedName>
    <definedName name="OSRRefD21_1_0x" localSheetId="80">'415'!$D$36:$M$36</definedName>
    <definedName name="OSRRefD21_1_0x" localSheetId="81">'418'!$D$32:$M$32</definedName>
    <definedName name="OSRRefD21_1_0x" localSheetId="82">'420'!$D$23:$M$23</definedName>
    <definedName name="OSRRefD21_1_0x" localSheetId="83">'423'!$D$28:$M$28</definedName>
    <definedName name="OSRRefD21_1_0x" localSheetId="84">'424'!$D$21:$M$21</definedName>
    <definedName name="OSRRefD21_1_0x" localSheetId="85">'425'!$D$26:$M$26</definedName>
    <definedName name="OSRRefD21_1_0x" localSheetId="88">'430'!$D$29:$M$29</definedName>
    <definedName name="OSRRefD21_1_0x" localSheetId="89">'433'!$D$37:$M$37</definedName>
    <definedName name="OSRRefD21_1_0x" localSheetId="91">'444'!$D$37:$M$37</definedName>
    <definedName name="OSRRefD21_1_0x" localSheetId="92">'450'!$D$33:$M$33</definedName>
    <definedName name="OSRRefD21_1_0x" localSheetId="73">'491'!$D$39:$M$39</definedName>
    <definedName name="OSRRefD21_1_0x" localSheetId="87">'492'!$D$37:$M$37</definedName>
    <definedName name="OSRRefD21_1_0x" localSheetId="94">'501'!$D$32:$M$32</definedName>
    <definedName name="OSRRefD21_1_0x" localSheetId="39">'Div 2'!$D$31:$M$31</definedName>
    <definedName name="OSRRefD21_1_0x" localSheetId="47">'Div 3'!$D$138:$M$138</definedName>
    <definedName name="OSRRefD21_1_0x" localSheetId="71">'Div 4'!$D$42:$M$42</definedName>
    <definedName name="OSRRefD21_1_0x" localSheetId="93">'Div 5'!$D$32:$M$32</definedName>
    <definedName name="OSRRefD21_1_0x" localSheetId="62">'Div 6'!$D$63:$M$63</definedName>
    <definedName name="OSRRefD21_1_0x" localSheetId="2">Summary!$D$168:$M$168</definedName>
    <definedName name="OSRRefD21_1_1x" localSheetId="41">'201'!$D$30:$M$30</definedName>
    <definedName name="OSRRefD21_1_1x" localSheetId="42">'202'!$D$30:$M$30</definedName>
    <definedName name="OSRRefD21_1_1x" localSheetId="43">'203'!$D$31:$M$31</definedName>
    <definedName name="OSRRefD21_1_1x" localSheetId="44">'204'!$D$31:$M$31</definedName>
    <definedName name="OSRRefD21_1_1x" localSheetId="45">'205'!$D$30:$M$30</definedName>
    <definedName name="OSRRefD21_1_1x" localSheetId="46">'206'!$D$30:$M$30</definedName>
    <definedName name="OSRRefD21_1_1x" localSheetId="48">'300'!$D$135:$M$135</definedName>
    <definedName name="OSRRefD21_1_1x" localSheetId="49">'300 &amp; 317'!$D$159:$M$159</definedName>
    <definedName name="OSRRefD21_1_1x" localSheetId="50">'301'!$D$32:$M$32</definedName>
    <definedName name="OSRRefD21_1_1x" localSheetId="51">'306'!$D$30:$M$30</definedName>
    <definedName name="OSRRefD21_1_1x" localSheetId="53">'307'!$D$48:$M$48</definedName>
    <definedName name="OSRRefD21_1_1x" localSheetId="54">'308'!$D$70:$M$70</definedName>
    <definedName name="OSRRefD21_1_1x" localSheetId="65">'309'!$D$31:$M$31</definedName>
    <definedName name="OSRRefD21_1_1x" localSheetId="64">'310'!$D$40:$M$40</definedName>
    <definedName name="OSRRefD21_1_1x" localSheetId="72">'310 &amp; 491'!$D$46:$M$46</definedName>
    <definedName name="OSRRefD21_1_1x" localSheetId="55">'311'!$D$69:$M$69</definedName>
    <definedName name="OSRRefD21_1_1x" localSheetId="66">'313'!$D$35:$M$35</definedName>
    <definedName name="OSRRefD21_1_1x" localSheetId="58">'315'!$D$91:$M$91</definedName>
    <definedName name="OSRRefD21_1_1x" localSheetId="61">'316'!$D$42:$M$42</definedName>
    <definedName name="OSRRefD21_1_1x" localSheetId="63">'317'!$D$64:$M$64</definedName>
    <definedName name="OSRRefD21_1_1x" localSheetId="67">'321'!$D$34:$M$34</definedName>
    <definedName name="OSRRefD21_1_1x" localSheetId="68">'322'!$D$32:$M$32</definedName>
    <definedName name="OSRRefD21_1_1x" localSheetId="56">'324'!$D$36:$M$36</definedName>
    <definedName name="OSRRefD21_1_1x" localSheetId="69">'325'!$D$31:$M$31</definedName>
    <definedName name="OSRRefD21_1_1x" localSheetId="59">'326'!$D$58:$M$58</definedName>
    <definedName name="OSRRefD21_1_1x" localSheetId="52">'330'!$D$52:$M$52</definedName>
    <definedName name="OSRRefD21_1_1x" localSheetId="57">'331'!$D$92:$M$92</definedName>
    <definedName name="OSRRefD21_1_1x" localSheetId="60">'332'!$D$44:$M$44</definedName>
    <definedName name="OSRRefD21_1_1x" localSheetId="74">'405'!$D$33:$M$33</definedName>
    <definedName name="OSRRefD21_1_1x" localSheetId="76">'411'!$D$30:$M$30</definedName>
    <definedName name="OSRRefD21_1_1x" localSheetId="77">'412'!$D$31:$M$31</definedName>
    <definedName name="OSRRefD21_1_1x" localSheetId="78">'413'!$D$33:$M$33</definedName>
    <definedName name="OSRRefD21_1_1x" localSheetId="79">'414'!$D$35:$M$35</definedName>
    <definedName name="OSRRefD21_1_1x" localSheetId="80">'415'!$D$37:$M$37</definedName>
    <definedName name="OSRRefD21_1_1x" localSheetId="81">'418'!$D$33:$M$33</definedName>
    <definedName name="OSRRefD21_1_1x" localSheetId="83">'423'!$D$29:$M$29</definedName>
    <definedName name="OSRRefD21_1_1x" localSheetId="88">'430'!$D$30:$M$30</definedName>
    <definedName name="OSRRefD21_1_1x" localSheetId="89">'433'!$D$38:$M$38</definedName>
    <definedName name="OSRRefD21_1_1x" localSheetId="91">'444'!$D$38:$M$38</definedName>
    <definedName name="OSRRefD21_1_1x" localSheetId="92">'450'!$D$34:$M$34</definedName>
    <definedName name="OSRRefD21_1_1x" localSheetId="73">'491'!$D$40:$M$40</definedName>
    <definedName name="OSRRefD21_1_1x" localSheetId="87">'492'!$D$38:$M$38</definedName>
    <definedName name="OSRRefD21_1_1x" localSheetId="94">'501'!$D$33:$M$33</definedName>
    <definedName name="OSRRefD21_1_1x" localSheetId="39">'Div 2'!$D$32:$M$32</definedName>
    <definedName name="OSRRefD21_1_1x" localSheetId="47">'Div 3'!$D$139:$M$139</definedName>
    <definedName name="OSRRefD21_1_1x" localSheetId="71">'Div 4'!$D$43:$M$43</definedName>
    <definedName name="OSRRefD21_1_1x" localSheetId="93">'Div 5'!$D$33:$M$33</definedName>
    <definedName name="OSRRefD21_1_1x" localSheetId="62">'Div 6'!$D$64:$M$64</definedName>
    <definedName name="OSRRefD21_1_1x" localSheetId="2">Summary!$D$169:$M$169</definedName>
    <definedName name="OSRRefD21_1_2x" localSheetId="41">'201'!$D$31:$M$31</definedName>
    <definedName name="OSRRefD21_1_2x" localSheetId="42">'202'!$D$31:$M$31</definedName>
    <definedName name="OSRRefD21_1_2x" localSheetId="43">'203'!$D$32:$M$32</definedName>
    <definedName name="OSRRefD21_1_2x" localSheetId="44">'204'!$D$32:$M$32</definedName>
    <definedName name="OSRRefD21_1_2x" localSheetId="45">'205'!$D$31:$M$31</definedName>
    <definedName name="OSRRefD21_1_2x" localSheetId="46">'206'!$D$31:$M$31</definedName>
    <definedName name="OSRRefD21_1_2x" localSheetId="48">'300'!$D$136:$M$136</definedName>
    <definedName name="OSRRefD21_1_2x" localSheetId="49">'300 &amp; 317'!$D$160:$M$160</definedName>
    <definedName name="OSRRefD21_1_2x" localSheetId="50">'301'!$D$33:$M$33</definedName>
    <definedName name="OSRRefD21_1_2x" localSheetId="51">'306'!$D$31:$M$31</definedName>
    <definedName name="OSRRefD21_1_2x" localSheetId="53">'307'!$D$49:$M$49</definedName>
    <definedName name="OSRRefD21_1_2x" localSheetId="54">'308'!$D$71:$M$71</definedName>
    <definedName name="OSRRefD21_1_2x" localSheetId="65">'309'!$D$32:$M$32</definedName>
    <definedName name="OSRRefD21_1_2x" localSheetId="64">'310'!$D$41:$M$41</definedName>
    <definedName name="OSRRefD21_1_2x" localSheetId="72">'310 &amp; 491'!$D$47:$M$47</definedName>
    <definedName name="OSRRefD21_1_2x" localSheetId="55">'311'!$D$70:$M$70</definedName>
    <definedName name="OSRRefD21_1_2x" localSheetId="66">'313'!$D$36:$M$36</definedName>
    <definedName name="OSRRefD21_1_2x" localSheetId="58">'315'!$D$92:$M$92</definedName>
    <definedName name="OSRRefD21_1_2x" localSheetId="61">'316'!$D$43:$M$43</definedName>
    <definedName name="OSRRefD21_1_2x" localSheetId="63">'317'!$D$65:$M$65</definedName>
    <definedName name="OSRRefD21_1_2x" localSheetId="67">'321'!$D$35:$M$35</definedName>
    <definedName name="OSRRefD21_1_2x" localSheetId="68">'322'!$D$33:$M$33</definedName>
    <definedName name="OSRRefD21_1_2x" localSheetId="56">'324'!$D$37:$M$37</definedName>
    <definedName name="OSRRefD21_1_2x" localSheetId="69">'325'!$D$32:$M$32</definedName>
    <definedName name="OSRRefD21_1_2x" localSheetId="59">'326'!$D$59:$M$59</definedName>
    <definedName name="OSRRefD21_1_2x" localSheetId="52">'330'!$D$53:$M$53</definedName>
    <definedName name="OSRRefD21_1_2x" localSheetId="57">'331'!$D$93:$M$93</definedName>
    <definedName name="OSRRefD21_1_2x" localSheetId="60">'332'!$D$45:$M$45</definedName>
    <definedName name="OSRRefD21_1_2x" localSheetId="74">'405'!$D$34:$M$34</definedName>
    <definedName name="OSRRefD21_1_2x" localSheetId="76">'411'!$D$31:$M$31</definedName>
    <definedName name="OSRRefD21_1_2x" localSheetId="77">'412'!$D$32:$M$32</definedName>
    <definedName name="OSRRefD21_1_2x" localSheetId="78">'413'!$D$34:$M$34</definedName>
    <definedName name="OSRRefD21_1_2x" localSheetId="79">'414'!$D$36:$M$36</definedName>
    <definedName name="OSRRefD21_1_2x" localSheetId="80">'415'!$D$38:$M$38</definedName>
    <definedName name="OSRRefD21_1_2x" localSheetId="81">'418'!$D$34:$M$34</definedName>
    <definedName name="OSRRefD21_1_2x" localSheetId="83">'423'!$D$30:$M$30</definedName>
    <definedName name="OSRRefD21_1_2x" localSheetId="88">'430'!$D$31:$M$31</definedName>
    <definedName name="OSRRefD21_1_2x" localSheetId="89">'433'!$D$39:$M$39</definedName>
    <definedName name="OSRRefD21_1_2x" localSheetId="91">'444'!$D$39:$M$39</definedName>
    <definedName name="OSRRefD21_1_2x" localSheetId="92">'450'!$D$35:$M$35</definedName>
    <definedName name="OSRRefD21_1_2x" localSheetId="73">'491'!$D$41:$M$41</definedName>
    <definedName name="OSRRefD21_1_2x" localSheetId="87">'492'!$D$39:$M$39</definedName>
    <definedName name="OSRRefD21_1_2x" localSheetId="94">'501'!$D$34:$M$34</definedName>
    <definedName name="OSRRefD21_1_2x" localSheetId="39">'Div 2'!$D$33:$M$33</definedName>
    <definedName name="OSRRefD21_1_2x" localSheetId="47">'Div 3'!$D$140:$M$140</definedName>
    <definedName name="OSRRefD21_1_2x" localSheetId="71">'Div 4'!$D$44:$M$44</definedName>
    <definedName name="OSRRefD21_1_2x" localSheetId="93">'Div 5'!$D$34:$M$34</definedName>
    <definedName name="OSRRefD21_1_2x" localSheetId="62">'Div 6'!$D$65:$M$65</definedName>
    <definedName name="OSRRefD21_1_2x" localSheetId="2">Summary!$D$170:$M$170</definedName>
    <definedName name="OSRRefD21_1_3x" localSheetId="41">'201'!$D$32:$M$32</definedName>
    <definedName name="OSRRefD21_1_3x" localSheetId="42">'202'!$D$32:$M$32</definedName>
    <definedName name="OSRRefD21_1_3x" localSheetId="43">'203'!$D$33:$M$33</definedName>
    <definedName name="OSRRefD21_1_3x" localSheetId="44">'204'!$D$33:$M$33</definedName>
    <definedName name="OSRRefD21_1_3x" localSheetId="45">'205'!$D$32:$M$32</definedName>
    <definedName name="OSRRefD21_1_3x" localSheetId="46">'206'!$D$32:$M$32</definedName>
    <definedName name="OSRRefD21_1_3x" localSheetId="48">'300'!$D$137:$M$137</definedName>
    <definedName name="OSRRefD21_1_3x" localSheetId="49">'300 &amp; 317'!$D$161:$M$161</definedName>
    <definedName name="OSRRefD21_1_3x" localSheetId="50">'301'!$D$34:$M$34</definedName>
    <definedName name="OSRRefD21_1_3x" localSheetId="51">'306'!$D$32:$M$32</definedName>
    <definedName name="OSRRefD21_1_3x" localSheetId="53">'307'!$D$50:$M$50</definedName>
    <definedName name="OSRRefD21_1_3x" localSheetId="54">'308'!$D$72:$M$72</definedName>
    <definedName name="OSRRefD21_1_3x" localSheetId="65">'309'!$D$33:$M$33</definedName>
    <definedName name="OSRRefD21_1_3x" localSheetId="64">'310'!$D$42:$M$42</definedName>
    <definedName name="OSRRefD21_1_3x" localSheetId="72">'310 &amp; 491'!$D$48:$M$48</definedName>
    <definedName name="OSRRefD21_1_3x" localSheetId="55">'311'!$D$71:$M$71</definedName>
    <definedName name="OSRRefD21_1_3x" localSheetId="66">'313'!$D$37:$M$37</definedName>
    <definedName name="OSRRefD21_1_3x" localSheetId="58">'315'!$D$93:$M$93</definedName>
    <definedName name="OSRRefD21_1_3x" localSheetId="61">'316'!$D$44:$M$44</definedName>
    <definedName name="OSRRefD21_1_3x" localSheetId="63">'317'!$D$66:$M$66</definedName>
    <definedName name="OSRRefD21_1_3x" localSheetId="67">'321'!$D$36:$M$36</definedName>
    <definedName name="OSRRefD21_1_3x" localSheetId="68">'322'!$D$34:$M$34</definedName>
    <definedName name="OSRRefD21_1_3x" localSheetId="56">'324'!$D$38:$M$38</definedName>
    <definedName name="OSRRefD21_1_3x" localSheetId="69">'325'!$D$33:$M$33</definedName>
    <definedName name="OSRRefD21_1_3x" localSheetId="59">'326'!$D$60:$M$60</definedName>
    <definedName name="OSRRefD21_1_3x" localSheetId="52">'330'!$D$54:$M$54</definedName>
    <definedName name="OSRRefD21_1_3x" localSheetId="57">'331'!$D$94:$M$94</definedName>
    <definedName name="OSRRefD21_1_3x" localSheetId="60">'332'!$D$46:$M$46</definedName>
    <definedName name="OSRRefD21_1_3x" localSheetId="74">'405'!$D$35:$M$35</definedName>
    <definedName name="OSRRefD21_1_3x" localSheetId="76">'411'!$D$32:$M$32</definedName>
    <definedName name="OSRRefD21_1_3x" localSheetId="77">'412'!$D$33:$M$33</definedName>
    <definedName name="OSRRefD21_1_3x" localSheetId="78">'413'!$D$35:$M$35</definedName>
    <definedName name="OSRRefD21_1_3x" localSheetId="79">'414'!$D$37:$M$37</definedName>
    <definedName name="OSRRefD21_1_3x" localSheetId="80">'415'!$D$39:$M$39</definedName>
    <definedName name="OSRRefD21_1_3x" localSheetId="81">'418'!$D$35:$M$35</definedName>
    <definedName name="OSRRefD21_1_3x" localSheetId="83">'423'!$D$31:$M$31</definedName>
    <definedName name="OSRRefD21_1_3x" localSheetId="88">'430'!$D$32:$M$32</definedName>
    <definedName name="OSRRefD21_1_3x" localSheetId="89">'433'!$D$40:$M$40</definedName>
    <definedName name="OSRRefD21_1_3x" localSheetId="91">'444'!$D$40:$M$40</definedName>
    <definedName name="OSRRefD21_1_3x" localSheetId="92">'450'!$D$36:$M$36</definedName>
    <definedName name="OSRRefD21_1_3x" localSheetId="73">'491'!$D$42:$M$42</definedName>
    <definedName name="OSRRefD21_1_3x" localSheetId="87">'492'!$D$40:$M$40</definedName>
    <definedName name="OSRRefD21_1_3x" localSheetId="94">'501'!$D$35:$M$35</definedName>
    <definedName name="OSRRefD21_1_3x" localSheetId="39">'Div 2'!$D$34:$M$34</definedName>
    <definedName name="OSRRefD21_1_3x" localSheetId="47">'Div 3'!$D$141:$M$141</definedName>
    <definedName name="OSRRefD21_1_3x" localSheetId="71">'Div 4'!$D$45:$M$45</definedName>
    <definedName name="OSRRefD21_1_3x" localSheetId="93">'Div 5'!$D$35:$M$35</definedName>
    <definedName name="OSRRefD21_1_3x" localSheetId="62">'Div 6'!$D$66:$M$66</definedName>
    <definedName name="OSRRefD21_1_3x" localSheetId="2">Summary!$D$171:$M$171</definedName>
    <definedName name="OSRRefD21_1_4x" localSheetId="41">'201'!$D$33:$M$33</definedName>
    <definedName name="OSRRefD21_1_4x" localSheetId="42">'202'!$D$33:$M$33</definedName>
    <definedName name="OSRRefD21_1_4x" localSheetId="43">'203'!$D$34:$M$34</definedName>
    <definedName name="OSRRefD21_1_4x" localSheetId="44">'204'!$D$34:$M$34</definedName>
    <definedName name="OSRRefD21_1_4x" localSheetId="45">'205'!$D$33:$M$33</definedName>
    <definedName name="OSRRefD21_1_4x" localSheetId="46">'206'!$D$33:$M$33</definedName>
    <definedName name="OSRRefD21_1_4x" localSheetId="48">'300'!$D$138:$M$138</definedName>
    <definedName name="OSRRefD21_1_4x" localSheetId="49">'300 &amp; 317'!$D$162:$M$162</definedName>
    <definedName name="OSRRefD21_1_4x" localSheetId="50">'301'!$D$35:$M$35</definedName>
    <definedName name="OSRRefD21_1_4x" localSheetId="51">'306'!$D$33:$M$33</definedName>
    <definedName name="OSRRefD21_1_4x" localSheetId="53">'307'!$D$51:$M$51</definedName>
    <definedName name="OSRRefD21_1_4x" localSheetId="54">'308'!$D$73:$M$73</definedName>
    <definedName name="OSRRefD21_1_4x" localSheetId="65">'309'!$D$34:$M$34</definedName>
    <definedName name="OSRRefD21_1_4x" localSheetId="64">'310'!$D$43:$M$43</definedName>
    <definedName name="OSRRefD21_1_4x" localSheetId="72">'310 &amp; 491'!$D$49:$M$49</definedName>
    <definedName name="OSRRefD21_1_4x" localSheetId="55">'311'!$D$72:$M$72</definedName>
    <definedName name="OSRRefD21_1_4x" localSheetId="66">'313'!$D$38:$M$38</definedName>
    <definedName name="OSRRefD21_1_4x" localSheetId="58">'315'!$D$94:$M$94</definedName>
    <definedName name="OSRRefD21_1_4x" localSheetId="61">'316'!$D$45:$M$45</definedName>
    <definedName name="OSRRefD21_1_4x" localSheetId="63">'317'!$D$67:$M$67</definedName>
    <definedName name="OSRRefD21_1_4x" localSheetId="67">'321'!$D$37:$M$37</definedName>
    <definedName name="OSRRefD21_1_4x" localSheetId="68">'322'!$D$35:$M$35</definedName>
    <definedName name="OSRRefD21_1_4x" localSheetId="56">'324'!$D$39:$M$39</definedName>
    <definedName name="OSRRefD21_1_4x" localSheetId="69">'325'!$D$34:$M$34</definedName>
    <definedName name="OSRRefD21_1_4x" localSheetId="59">'326'!$D$61:$M$61</definedName>
    <definedName name="OSRRefD21_1_4x" localSheetId="52">'330'!$D$55:$M$55</definedName>
    <definedName name="OSRRefD21_1_4x" localSheetId="57">'331'!$D$95:$M$95</definedName>
    <definedName name="OSRRefD21_1_4x" localSheetId="60">'332'!$D$47:$M$47</definedName>
    <definedName name="OSRRefD21_1_4x" localSheetId="74">'405'!$D$36:$M$36</definedName>
    <definedName name="OSRRefD21_1_4x" localSheetId="76">'411'!$D$33:$M$33</definedName>
    <definedName name="OSRRefD21_1_4x" localSheetId="77">'412'!$D$34:$M$34</definedName>
    <definedName name="OSRRefD21_1_4x" localSheetId="78">'413'!$D$36:$M$36</definedName>
    <definedName name="OSRRefD21_1_4x" localSheetId="79">'414'!$D$38:$M$38</definedName>
    <definedName name="OSRRefD21_1_4x" localSheetId="80">'415'!$D$40:$M$40</definedName>
    <definedName name="OSRRefD21_1_4x" localSheetId="81">'418'!$D$36:$M$36</definedName>
    <definedName name="OSRRefD21_1_4x" localSheetId="83">'423'!$D$32:$M$32</definedName>
    <definedName name="OSRRefD21_1_4x" localSheetId="88">'430'!$D$33:$M$33</definedName>
    <definedName name="OSRRefD21_1_4x" localSheetId="89">'433'!$D$41:$M$41</definedName>
    <definedName name="OSRRefD21_1_4x" localSheetId="91">'444'!$D$41:$M$41</definedName>
    <definedName name="OSRRefD21_1_4x" localSheetId="92">'450'!$D$37:$M$37</definedName>
    <definedName name="OSRRefD21_1_4x" localSheetId="73">'491'!$D$43:$M$43</definedName>
    <definedName name="OSRRefD21_1_4x" localSheetId="87">'492'!$D$41:$M$41</definedName>
    <definedName name="OSRRefD21_1_4x" localSheetId="94">'501'!$D$36:$M$36</definedName>
    <definedName name="OSRRefD21_1_4x" localSheetId="39">'Div 2'!$D$35:$M$35</definedName>
    <definedName name="OSRRefD21_1_4x" localSheetId="47">'Div 3'!$D$142:$M$142</definedName>
    <definedName name="OSRRefD21_1_4x" localSheetId="71">'Div 4'!$D$46:$M$46</definedName>
    <definedName name="OSRRefD21_1_4x" localSheetId="93">'Div 5'!$D$36:$M$36</definedName>
    <definedName name="OSRRefD21_1_4x" localSheetId="62">'Div 6'!$D$67:$M$67</definedName>
    <definedName name="OSRRefD21_1_4x" localSheetId="2">Summary!$D$172:$M$172</definedName>
    <definedName name="OSRRefD21_1_5x" localSheetId="41">'201'!$D$34:$M$34</definedName>
    <definedName name="OSRRefD21_1_5x" localSheetId="42">'202'!$D$34:$M$34</definedName>
    <definedName name="OSRRefD21_1_5x" localSheetId="43">'203'!$D$35:$M$35</definedName>
    <definedName name="OSRRefD21_1_5x" localSheetId="44">'204'!$D$35:$M$35</definedName>
    <definedName name="OSRRefD21_1_5x" localSheetId="45">'205'!$D$34:$M$34</definedName>
    <definedName name="OSRRefD21_1_5x" localSheetId="46">'206'!$D$34:$M$34</definedName>
    <definedName name="OSRRefD21_1_5x" localSheetId="48">'300'!$D$139:$M$139</definedName>
    <definedName name="OSRRefD21_1_5x" localSheetId="49">'300 &amp; 317'!$D$163:$M$163</definedName>
    <definedName name="OSRRefD21_1_5x" localSheetId="50">'301'!$D$36:$M$36</definedName>
    <definedName name="OSRRefD21_1_5x" localSheetId="51">'306'!$D$34:$M$34</definedName>
    <definedName name="OSRRefD21_1_5x" localSheetId="53">'307'!$D$52:$M$52</definedName>
    <definedName name="OSRRefD21_1_5x" localSheetId="54">'308'!$D$74:$M$74</definedName>
    <definedName name="OSRRefD21_1_5x" localSheetId="65">'309'!$D$35:$M$35</definedName>
    <definedName name="OSRRefD21_1_5x" localSheetId="64">'310'!$D$44:$M$44</definedName>
    <definedName name="OSRRefD21_1_5x" localSheetId="72">'310 &amp; 491'!$D$50:$M$50</definedName>
    <definedName name="OSRRefD21_1_5x" localSheetId="55">'311'!$D$73:$M$73</definedName>
    <definedName name="OSRRefD21_1_5x" localSheetId="66">'313'!$D$39:$M$39</definedName>
    <definedName name="OSRRefD21_1_5x" localSheetId="58">'315'!$D$95:$M$95</definedName>
    <definedName name="OSRRefD21_1_5x" localSheetId="61">'316'!$D$46:$M$46</definedName>
    <definedName name="OSRRefD21_1_5x" localSheetId="63">'317'!$D$68:$M$68</definedName>
    <definedName name="OSRRefD21_1_5x" localSheetId="67">'321'!$D$38:$M$38</definedName>
    <definedName name="OSRRefD21_1_5x" localSheetId="68">'322'!$D$36:$M$36</definedName>
    <definedName name="OSRRefD21_1_5x" localSheetId="56">'324'!$D$40:$M$40</definedName>
    <definedName name="OSRRefD21_1_5x" localSheetId="69">'325'!$D$35:$M$35</definedName>
    <definedName name="OSRRefD21_1_5x" localSheetId="59">'326'!$D$62:$M$62</definedName>
    <definedName name="OSRRefD21_1_5x" localSheetId="52">'330'!$D$56:$M$56</definedName>
    <definedName name="OSRRefD21_1_5x" localSheetId="57">'331'!$D$96:$M$96</definedName>
    <definedName name="OSRRefD21_1_5x" localSheetId="60">'332'!$D$48:$M$48</definedName>
    <definedName name="OSRRefD21_1_5x" localSheetId="74">'405'!$D$37:$M$37</definedName>
    <definedName name="OSRRefD21_1_5x" localSheetId="76">'411'!$D$34:$M$34</definedName>
    <definedName name="OSRRefD21_1_5x" localSheetId="77">'412'!$D$35:$M$35</definedName>
    <definedName name="OSRRefD21_1_5x" localSheetId="78">'413'!$D$37:$M$37</definedName>
    <definedName name="OSRRefD21_1_5x" localSheetId="79">'414'!$D$39:$M$39</definedName>
    <definedName name="OSRRefD21_1_5x" localSheetId="80">'415'!$D$41:$M$41</definedName>
    <definedName name="OSRRefD21_1_5x" localSheetId="81">'418'!$D$37:$M$37</definedName>
    <definedName name="OSRRefD21_1_5x" localSheetId="83">'423'!$D$33:$M$33</definedName>
    <definedName name="OSRRefD21_1_5x" localSheetId="88">'430'!$D$34:$M$34</definedName>
    <definedName name="OSRRefD21_1_5x" localSheetId="89">'433'!$D$42:$M$42</definedName>
    <definedName name="OSRRefD21_1_5x" localSheetId="91">'444'!$D$42:$M$42</definedName>
    <definedName name="OSRRefD21_1_5x" localSheetId="92">'450'!$D$38:$M$38</definedName>
    <definedName name="OSRRefD21_1_5x" localSheetId="73">'491'!$D$44:$M$44</definedName>
    <definedName name="OSRRefD21_1_5x" localSheetId="87">'492'!$D$42:$M$42</definedName>
    <definedName name="OSRRefD21_1_5x" localSheetId="94">'501'!$D$37:$M$37</definedName>
    <definedName name="OSRRefD21_1_5x" localSheetId="39">'Div 2'!$D$36:$M$36</definedName>
    <definedName name="OSRRefD21_1_5x" localSheetId="47">'Div 3'!$D$143:$M$143</definedName>
    <definedName name="OSRRefD21_1_5x" localSheetId="71">'Div 4'!$D$47:$M$47</definedName>
    <definedName name="OSRRefD21_1_5x" localSheetId="93">'Div 5'!$D$37:$M$37</definedName>
    <definedName name="OSRRefD21_1_5x" localSheetId="62">'Div 6'!$D$68:$M$68</definedName>
    <definedName name="OSRRefD21_1_5x" localSheetId="2">Summary!$D$173:$M$173</definedName>
    <definedName name="OSRRefD21_1_6x" localSheetId="41">'201'!$D$35:$M$35</definedName>
    <definedName name="OSRRefD21_1_6x" localSheetId="42">'202'!$D$35:$M$35</definedName>
    <definedName name="OSRRefD21_1_6x" localSheetId="43">'203'!$D$36:$M$36</definedName>
    <definedName name="OSRRefD21_1_6x" localSheetId="44">'204'!$D$36:$M$36</definedName>
    <definedName name="OSRRefD21_1_6x" localSheetId="45">'205'!$D$35:$M$35</definedName>
    <definedName name="OSRRefD21_1_6x" localSheetId="46">'206'!$D$35:$M$35</definedName>
    <definedName name="OSRRefD21_1_6x" localSheetId="48">'300'!$D$140:$M$140</definedName>
    <definedName name="OSRRefD21_1_6x" localSheetId="49">'300 &amp; 317'!$D$164:$M$164</definedName>
    <definedName name="OSRRefD21_1_6x" localSheetId="50">'301'!$D$37:$M$37</definedName>
    <definedName name="OSRRefD21_1_6x" localSheetId="51">'306'!$D$35:$M$35</definedName>
    <definedName name="OSRRefD21_1_6x" localSheetId="53">'307'!$D$53:$M$53</definedName>
    <definedName name="OSRRefD21_1_6x" localSheetId="54">'308'!$D$75:$M$75</definedName>
    <definedName name="OSRRefD21_1_6x" localSheetId="65">'309'!$D$36:$M$36</definedName>
    <definedName name="OSRRefD21_1_6x" localSheetId="64">'310'!$D$45:$M$45</definedName>
    <definedName name="OSRRefD21_1_6x" localSheetId="72">'310 &amp; 491'!$D$51:$M$51</definedName>
    <definedName name="OSRRefD21_1_6x" localSheetId="55">'311'!$D$74:$M$74</definedName>
    <definedName name="OSRRefD21_1_6x" localSheetId="66">'313'!$D$40:$M$40</definedName>
    <definedName name="OSRRefD21_1_6x" localSheetId="58">'315'!$D$96:$M$96</definedName>
    <definedName name="OSRRefD21_1_6x" localSheetId="61">'316'!$D$47:$M$47</definedName>
    <definedName name="OSRRefD21_1_6x" localSheetId="63">'317'!$D$69:$M$69</definedName>
    <definedName name="OSRRefD21_1_6x" localSheetId="67">'321'!$D$39:$M$39</definedName>
    <definedName name="OSRRefD21_1_6x" localSheetId="68">'322'!$D$37:$M$37</definedName>
    <definedName name="OSRRefD21_1_6x" localSheetId="56">'324'!$D$41:$M$41</definedName>
    <definedName name="OSRRefD21_1_6x" localSheetId="69">'325'!$D$36:$M$36</definedName>
    <definedName name="OSRRefD21_1_6x" localSheetId="59">'326'!$D$63:$M$63</definedName>
    <definedName name="OSRRefD21_1_6x" localSheetId="52">'330'!$D$57:$M$57</definedName>
    <definedName name="OSRRefD21_1_6x" localSheetId="57">'331'!$D$97:$M$97</definedName>
    <definedName name="OSRRefD21_1_6x" localSheetId="60">'332'!$D$49:$M$49</definedName>
    <definedName name="OSRRefD21_1_6x" localSheetId="74">'405'!$D$38:$M$38</definedName>
    <definedName name="OSRRefD21_1_6x" localSheetId="76">'411'!$D$35:$M$35</definedName>
    <definedName name="OSRRefD21_1_6x" localSheetId="77">'412'!$D$36:$M$36</definedName>
    <definedName name="OSRRefD21_1_6x" localSheetId="78">'413'!$D$38:$M$38</definedName>
    <definedName name="OSRRefD21_1_6x" localSheetId="79">'414'!$D$40:$M$40</definedName>
    <definedName name="OSRRefD21_1_6x" localSheetId="80">'415'!$D$42:$M$42</definedName>
    <definedName name="OSRRefD21_1_6x" localSheetId="81">'418'!$D$38:$M$38</definedName>
    <definedName name="OSRRefD21_1_6x" localSheetId="83">'423'!$D$34:$M$34</definedName>
    <definedName name="OSRRefD21_1_6x" localSheetId="88">'430'!$D$35:$M$35</definedName>
    <definedName name="OSRRefD21_1_6x" localSheetId="89">'433'!$D$43:$M$43</definedName>
    <definedName name="OSRRefD21_1_6x" localSheetId="91">'444'!$D$43:$M$43</definedName>
    <definedName name="OSRRefD21_1_6x" localSheetId="92">'450'!$D$39:$M$39</definedName>
    <definedName name="OSRRefD21_1_6x" localSheetId="73">'491'!$D$45:$M$45</definedName>
    <definedName name="OSRRefD21_1_6x" localSheetId="87">'492'!$D$43:$M$43</definedName>
    <definedName name="OSRRefD21_1_6x" localSheetId="94">'501'!$D$38:$M$38</definedName>
    <definedName name="OSRRefD21_1_6x" localSheetId="39">'Div 2'!$D$37:$M$37</definedName>
    <definedName name="OSRRefD21_1_6x" localSheetId="47">'Div 3'!$D$144:$M$144</definedName>
    <definedName name="OSRRefD21_1_6x" localSheetId="71">'Div 4'!$D$48:$M$48</definedName>
    <definedName name="OSRRefD21_1_6x" localSheetId="93">'Div 5'!$D$38:$M$38</definedName>
    <definedName name="OSRRefD21_1_6x" localSheetId="62">'Div 6'!$D$69:$M$69</definedName>
    <definedName name="OSRRefD21_1_6x" localSheetId="2">Summary!$D$174:$M$174</definedName>
    <definedName name="OSRRefD21_1_7x" localSheetId="41">'201'!$D$36:$M$36</definedName>
    <definedName name="OSRRefD21_1_7x" localSheetId="42">'202'!$D$36:$M$36</definedName>
    <definedName name="OSRRefD21_1_7x" localSheetId="43">'203'!$D$37:$M$37</definedName>
    <definedName name="OSRRefD21_1_7x" localSheetId="44">'204'!$D$37:$M$37</definedName>
    <definedName name="OSRRefD21_1_7x" localSheetId="45">'205'!$D$36:$M$36</definedName>
    <definedName name="OSRRefD21_1_7x" localSheetId="46">'206'!$D$36:$M$36</definedName>
    <definedName name="OSRRefD21_1_7x" localSheetId="48">'300'!$D$141:$M$141</definedName>
    <definedName name="OSRRefD21_1_7x" localSheetId="49">'300 &amp; 317'!$D$165:$M$165</definedName>
    <definedName name="OSRRefD21_1_7x" localSheetId="50">'301'!$D$38:$M$38</definedName>
    <definedName name="OSRRefD21_1_7x" localSheetId="51">'306'!$D$36:$M$36</definedName>
    <definedName name="OSRRefD21_1_7x" localSheetId="53">'307'!$D$54:$M$54</definedName>
    <definedName name="OSRRefD21_1_7x" localSheetId="54">'308'!$D$76:$M$76</definedName>
    <definedName name="OSRRefD21_1_7x" localSheetId="65">'309'!$D$37:$M$37</definedName>
    <definedName name="OSRRefD21_1_7x" localSheetId="64">'310'!$D$46:$M$46</definedName>
    <definedName name="OSRRefD21_1_7x" localSheetId="72">'310 &amp; 491'!$D$52:$M$52</definedName>
    <definedName name="OSRRefD21_1_7x" localSheetId="55">'311'!$D$75:$M$75</definedName>
    <definedName name="OSRRefD21_1_7x" localSheetId="66">'313'!$D$41:$M$41</definedName>
    <definedName name="OSRRefD21_1_7x" localSheetId="58">'315'!$D$97:$M$97</definedName>
    <definedName name="OSRRefD21_1_7x" localSheetId="61">'316'!$D$48:$M$48</definedName>
    <definedName name="OSRRefD21_1_7x" localSheetId="63">'317'!$D$70:$M$70</definedName>
    <definedName name="OSRRefD21_1_7x" localSheetId="67">'321'!$D$40:$M$40</definedName>
    <definedName name="OSRRefD21_1_7x" localSheetId="68">'322'!$D$38:$M$38</definedName>
    <definedName name="OSRRefD21_1_7x" localSheetId="56">'324'!$D$42:$M$42</definedName>
    <definedName name="OSRRefD21_1_7x" localSheetId="69">'325'!$D$37:$M$37</definedName>
    <definedName name="OSRRefD21_1_7x" localSheetId="59">'326'!$D$64:$M$64</definedName>
    <definedName name="OSRRefD21_1_7x" localSheetId="52">'330'!$D$58:$M$58</definedName>
    <definedName name="OSRRefD21_1_7x" localSheetId="57">'331'!$D$98:$M$98</definedName>
    <definedName name="OSRRefD21_1_7x" localSheetId="60">'332'!$D$50:$M$50</definedName>
    <definedName name="OSRRefD21_1_7x" localSheetId="74">'405'!$D$39:$M$39</definedName>
    <definedName name="OSRRefD21_1_7x" localSheetId="76">'411'!$D$36:$M$36</definedName>
    <definedName name="OSRRefD21_1_7x" localSheetId="77">'412'!$D$37:$M$37</definedName>
    <definedName name="OSRRefD21_1_7x" localSheetId="78">'413'!$D$39:$M$39</definedName>
    <definedName name="OSRRefD21_1_7x" localSheetId="79">'414'!$D$41:$M$41</definedName>
    <definedName name="OSRRefD21_1_7x" localSheetId="80">'415'!$D$43:$M$43</definedName>
    <definedName name="OSRRefD21_1_7x" localSheetId="81">'418'!$D$39:$M$39</definedName>
    <definedName name="OSRRefD21_1_7x" localSheetId="83">'423'!$D$35:$M$35</definedName>
    <definedName name="OSRRefD21_1_7x" localSheetId="88">'430'!$D$36:$M$36</definedName>
    <definedName name="OSRRefD21_1_7x" localSheetId="89">'433'!$D$44:$M$44</definedName>
    <definedName name="OSRRefD21_1_7x" localSheetId="91">'444'!$D$44:$M$44</definedName>
    <definedName name="OSRRefD21_1_7x" localSheetId="92">'450'!$D$40:$M$40</definedName>
    <definedName name="OSRRefD21_1_7x" localSheetId="73">'491'!$D$46:$M$46</definedName>
    <definedName name="OSRRefD21_1_7x" localSheetId="87">'492'!$D$44:$M$44</definedName>
    <definedName name="OSRRefD21_1_7x" localSheetId="94">'501'!$D$39:$M$39</definedName>
    <definedName name="OSRRefD21_1_7x" localSheetId="39">'Div 2'!$D$38:$M$38</definedName>
    <definedName name="OSRRefD21_1_7x" localSheetId="47">'Div 3'!$D$145:$M$145</definedName>
    <definedName name="OSRRefD21_1_7x" localSheetId="71">'Div 4'!$D$49:$M$49</definedName>
    <definedName name="OSRRefD21_1_7x" localSheetId="93">'Div 5'!$D$39:$M$39</definedName>
    <definedName name="OSRRefD21_1_7x" localSheetId="62">'Div 6'!$D$70:$M$70</definedName>
    <definedName name="OSRRefD21_1_7x" localSheetId="2">Summary!$D$175:$M$175</definedName>
    <definedName name="OSRRefD21_1_8x" localSheetId="41">'201'!$D$37:$M$37</definedName>
    <definedName name="OSRRefD21_1_8x" localSheetId="42">'202'!$D$37:$M$37</definedName>
    <definedName name="OSRRefD21_1_8x" localSheetId="43">'203'!$D$38:$M$38</definedName>
    <definedName name="OSRRefD21_1_8x" localSheetId="44">'204'!$D$38:$M$38</definedName>
    <definedName name="OSRRefD21_1_8x" localSheetId="45">'205'!$D$37:$M$37</definedName>
    <definedName name="OSRRefD21_1_8x" localSheetId="46">'206'!$D$37:$M$37</definedName>
    <definedName name="OSRRefD21_1_8x" localSheetId="48">'300'!$D$142:$M$142</definedName>
    <definedName name="OSRRefD21_1_8x" localSheetId="49">'300 &amp; 317'!$D$166:$M$166</definedName>
    <definedName name="OSRRefD21_1_8x" localSheetId="50">'301'!$D$39:$M$39</definedName>
    <definedName name="OSRRefD21_1_8x" localSheetId="51">'306'!$D$37:$M$37</definedName>
    <definedName name="OSRRefD21_1_8x" localSheetId="53">'307'!$D$55:$M$55</definedName>
    <definedName name="OSRRefD21_1_8x" localSheetId="54">'308'!$D$77:$M$77</definedName>
    <definedName name="OSRRefD21_1_8x" localSheetId="65">'309'!$D$38:$M$38</definedName>
    <definedName name="OSRRefD21_1_8x" localSheetId="64">'310'!$D$47:$M$47</definedName>
    <definedName name="OSRRefD21_1_8x" localSheetId="72">'310 &amp; 491'!$D$53:$M$53</definedName>
    <definedName name="OSRRefD21_1_8x" localSheetId="55">'311'!$D$76:$M$76</definedName>
    <definedName name="OSRRefD21_1_8x" localSheetId="66">'313'!$D$42:$M$42</definedName>
    <definedName name="OSRRefD21_1_8x" localSheetId="58">'315'!$D$98:$M$98</definedName>
    <definedName name="OSRRefD21_1_8x" localSheetId="61">'316'!$D$49:$M$49</definedName>
    <definedName name="OSRRefD21_1_8x" localSheetId="63">'317'!$D$71:$M$71</definedName>
    <definedName name="OSRRefD21_1_8x" localSheetId="67">'321'!$D$41:$M$41</definedName>
    <definedName name="OSRRefD21_1_8x" localSheetId="68">'322'!$D$39:$M$39</definedName>
    <definedName name="OSRRefD21_1_8x" localSheetId="56">'324'!$D$43:$M$43</definedName>
    <definedName name="OSRRefD21_1_8x" localSheetId="69">'325'!$D$38:$M$38</definedName>
    <definedName name="OSRRefD21_1_8x" localSheetId="59">'326'!$D$65:$M$65</definedName>
    <definedName name="OSRRefD21_1_8x" localSheetId="52">'330'!$D$59:$M$59</definedName>
    <definedName name="OSRRefD21_1_8x" localSheetId="57">'331'!$D$99:$M$99</definedName>
    <definedName name="OSRRefD21_1_8x" localSheetId="60">'332'!$D$51:$M$51</definedName>
    <definedName name="OSRRefD21_1_8x" localSheetId="74">'405'!$D$40:$M$40</definedName>
    <definedName name="OSRRefD21_1_8x" localSheetId="76">'411'!$D$37:$M$37</definedName>
    <definedName name="OSRRefD21_1_8x" localSheetId="77">'412'!$D$38:$M$38</definedName>
    <definedName name="OSRRefD21_1_8x" localSheetId="78">'413'!$D$40:$M$40</definedName>
    <definedName name="OSRRefD21_1_8x" localSheetId="79">'414'!$D$42:$M$42</definedName>
    <definedName name="OSRRefD21_1_8x" localSheetId="80">'415'!$D$44:$M$44</definedName>
    <definedName name="OSRRefD21_1_8x" localSheetId="81">'418'!$D$40:$M$40</definedName>
    <definedName name="OSRRefD21_1_8x" localSheetId="83">'423'!$D$36:$M$36</definedName>
    <definedName name="OSRRefD21_1_8x" localSheetId="88">'430'!$D$37:$M$37</definedName>
    <definedName name="OSRRefD21_1_8x" localSheetId="89">'433'!$D$45:$M$45</definedName>
    <definedName name="OSRRefD21_1_8x" localSheetId="91">'444'!$D$45:$M$45</definedName>
    <definedName name="OSRRefD21_1_8x" localSheetId="92">'450'!$D$41:$M$41</definedName>
    <definedName name="OSRRefD21_1_8x" localSheetId="73">'491'!$D$47:$M$47</definedName>
    <definedName name="OSRRefD21_1_8x" localSheetId="87">'492'!$D$45:$M$45</definedName>
    <definedName name="OSRRefD21_1_8x" localSheetId="94">'501'!$D$40:$M$40</definedName>
    <definedName name="OSRRefD21_1_8x" localSheetId="39">'Div 2'!$D$39:$M$39</definedName>
    <definedName name="OSRRefD21_1_8x" localSheetId="47">'Div 3'!$D$146:$M$146</definedName>
    <definedName name="OSRRefD21_1_8x" localSheetId="71">'Div 4'!$D$50:$M$50</definedName>
    <definedName name="OSRRefD21_1_8x" localSheetId="93">'Div 5'!$D$40:$M$40</definedName>
    <definedName name="OSRRefD21_1_8x" localSheetId="62">'Div 6'!$D$71:$M$71</definedName>
    <definedName name="OSRRefD21_1_8x" localSheetId="2">Summary!$D$176:$M$176</definedName>
    <definedName name="OSRRefD21_1_9x" localSheetId="41">'201'!$D$38:$M$38</definedName>
    <definedName name="OSRRefD21_1_9x" localSheetId="42">'202'!$D$38:$M$38</definedName>
    <definedName name="OSRRefD21_1_9x" localSheetId="43">'203'!$D$39:$M$39</definedName>
    <definedName name="OSRRefD21_1_9x" localSheetId="44">'204'!$D$39:$M$39</definedName>
    <definedName name="OSRRefD21_1_9x" localSheetId="45">'205'!$D$38:$M$38</definedName>
    <definedName name="OSRRefD21_1_9x" localSheetId="46">'206'!$D$38:$M$38</definedName>
    <definedName name="OSRRefD21_1_9x" localSheetId="48">'300'!$D$143:$M$143</definedName>
    <definedName name="OSRRefD21_1_9x" localSheetId="49">'300 &amp; 317'!$D$167:$M$167</definedName>
    <definedName name="OSRRefD21_1_9x" localSheetId="50">'301'!$D$40:$M$40</definedName>
    <definedName name="OSRRefD21_1_9x" localSheetId="51">'306'!$D$38:$M$38</definedName>
    <definedName name="OSRRefD21_1_9x" localSheetId="53">'307'!$D$56:$M$56</definedName>
    <definedName name="OSRRefD21_1_9x" localSheetId="54">'308'!$D$78:$M$78</definedName>
    <definedName name="OSRRefD21_1_9x" localSheetId="65">'309'!$D$39:$M$39</definedName>
    <definedName name="OSRRefD21_1_9x" localSheetId="64">'310'!$D$48:$M$48</definedName>
    <definedName name="OSRRefD21_1_9x" localSheetId="72">'310 &amp; 491'!$D$54:$M$54</definedName>
    <definedName name="OSRRefD21_1_9x" localSheetId="55">'311'!$D$77:$M$77</definedName>
    <definedName name="OSRRefD21_1_9x" localSheetId="66">'313'!$D$43:$M$43</definedName>
    <definedName name="OSRRefD21_1_9x" localSheetId="58">'315'!$D$99:$M$99</definedName>
    <definedName name="OSRRefD21_1_9x" localSheetId="61">'316'!$D$50:$M$50</definedName>
    <definedName name="OSRRefD21_1_9x" localSheetId="63">'317'!$D$72:$M$72</definedName>
    <definedName name="OSRRefD21_1_9x" localSheetId="67">'321'!$D$42:$M$42</definedName>
    <definedName name="OSRRefD21_1_9x" localSheetId="68">'322'!$D$40:$M$40</definedName>
    <definedName name="OSRRefD21_1_9x" localSheetId="56">'324'!$D$44:$M$44</definedName>
    <definedName name="OSRRefD21_1_9x" localSheetId="69">'325'!$D$39:$M$39</definedName>
    <definedName name="OSRRefD21_1_9x" localSheetId="59">'326'!$D$66:$M$66</definedName>
    <definedName name="OSRRefD21_1_9x" localSheetId="52">'330'!$D$60:$M$60</definedName>
    <definedName name="OSRRefD21_1_9x" localSheetId="57">'331'!$D$100:$M$100</definedName>
    <definedName name="OSRRefD21_1_9x" localSheetId="60">'332'!$D$52:$M$52</definedName>
    <definedName name="OSRRefD21_1_9x" localSheetId="74">'405'!$D$41:$M$41</definedName>
    <definedName name="OSRRefD21_1_9x" localSheetId="76">'411'!$D$38:$M$38</definedName>
    <definedName name="OSRRefD21_1_9x" localSheetId="77">'412'!$D$39:$M$39</definedName>
    <definedName name="OSRRefD21_1_9x" localSheetId="78">'413'!$D$41:$M$41</definedName>
    <definedName name="OSRRefD21_1_9x" localSheetId="79">'414'!$D$43:$M$43</definedName>
    <definedName name="OSRRefD21_1_9x" localSheetId="80">'415'!$D$45:$M$45</definedName>
    <definedName name="OSRRefD21_1_9x" localSheetId="81">'418'!$D$41:$M$41</definedName>
    <definedName name="OSRRefD21_1_9x" localSheetId="83">'423'!$D$37:$M$37</definedName>
    <definedName name="OSRRefD21_1_9x" localSheetId="88">'430'!$D$38:$M$38</definedName>
    <definedName name="OSRRefD21_1_9x" localSheetId="89">'433'!$D$46:$M$46</definedName>
    <definedName name="OSRRefD21_1_9x" localSheetId="91">'444'!$D$46:$M$46</definedName>
    <definedName name="OSRRefD21_1_9x" localSheetId="92">'450'!$D$42:$M$42</definedName>
    <definedName name="OSRRefD21_1_9x" localSheetId="73">'491'!$D$48:$M$48</definedName>
    <definedName name="OSRRefD21_1_9x" localSheetId="87">'492'!$D$46:$M$46</definedName>
    <definedName name="OSRRefD21_1_9x" localSheetId="94">'501'!$D$41:$M$41</definedName>
    <definedName name="OSRRefD21_1_9x" localSheetId="39">'Div 2'!$D$40:$M$40</definedName>
    <definedName name="OSRRefD21_1_9x" localSheetId="47">'Div 3'!$D$147:$M$147</definedName>
    <definedName name="OSRRefD21_1_9x" localSheetId="71">'Div 4'!$D$51:$M$51</definedName>
    <definedName name="OSRRefD21_1_9x" localSheetId="93">'Div 5'!$D$41:$M$41</definedName>
    <definedName name="OSRRefD21_1_9x" localSheetId="62">'Div 6'!$D$72:$M$72</definedName>
    <definedName name="OSRRefD21_1_9x" localSheetId="2">Summary!$D$177:$M$177</definedName>
    <definedName name="OSRRefD21_10_0x" localSheetId="41">'201'!$D$56:$M$56</definedName>
    <definedName name="OSRRefD21_10_0x" localSheetId="42">'202'!$D$60:$M$60</definedName>
    <definedName name="OSRRefD21_10_0x" localSheetId="43">'203'!$D$60:$M$60</definedName>
    <definedName name="OSRRefD21_10_0x" localSheetId="44">'204'!$D$60:$M$60</definedName>
    <definedName name="OSRRefD21_10_0x" localSheetId="48">'300'!$D$164:$M$164</definedName>
    <definedName name="OSRRefD21_10_0x" localSheetId="49">'300 &amp; 317'!$D$188:$M$188</definedName>
    <definedName name="OSRRefD21_10_0x" localSheetId="50">'301'!$D$60:$M$60</definedName>
    <definedName name="OSRRefD21_10_0x" localSheetId="53">'307'!$D$78:$M$78</definedName>
    <definedName name="OSRRefD21_10_0x" localSheetId="54">'308'!$D$101:$M$101</definedName>
    <definedName name="OSRRefD21_10_0x" localSheetId="65">'309'!$D$60:$M$60</definedName>
    <definedName name="OSRRefD21_10_0x" localSheetId="64">'310'!$D$67:$M$67</definedName>
    <definedName name="OSRRefD21_10_0x" localSheetId="72">'310 &amp; 491'!$D$75:$M$75</definedName>
    <definedName name="OSRRefD21_10_0x" localSheetId="55">'311'!$D$100:$M$100</definedName>
    <definedName name="OSRRefD21_10_0x" localSheetId="58">'315'!$D$120:$M$120</definedName>
    <definedName name="OSRRefD21_10_0x" localSheetId="61">'316'!$D$75:$M$75</definedName>
    <definedName name="OSRRefD21_10_0x" localSheetId="63">'317'!$D$92:$M$92</definedName>
    <definedName name="OSRRefD21_10_0x" localSheetId="67">'321'!$D$63:$M$63</definedName>
    <definedName name="OSRRefD21_10_0x" localSheetId="68">'322'!$D$62:$M$62</definedName>
    <definedName name="OSRRefD21_10_0x" localSheetId="69">'325'!$D$58:$M$58</definedName>
    <definedName name="OSRRefD21_10_0x" localSheetId="59">'326'!$D$84:$M$84</definedName>
    <definedName name="OSRRefD21_10_0x" localSheetId="52">'330'!$D$82:$M$82</definedName>
    <definedName name="OSRRefD21_10_0x" localSheetId="57">'331'!$D$120:$M$120</definedName>
    <definedName name="OSRRefD21_10_0x" localSheetId="60">'332'!$D$77:$M$77</definedName>
    <definedName name="OSRRefD21_10_0x" localSheetId="74">'405'!$D$61:$M$61</definedName>
    <definedName name="OSRRefD21_10_0x" localSheetId="76">'411'!$D$60:$M$60</definedName>
    <definedName name="OSRRefD21_10_0x" localSheetId="77">'412'!$D$59:$M$59</definedName>
    <definedName name="OSRRefD21_10_0x" localSheetId="79">'414'!$D$62:$M$62</definedName>
    <definedName name="OSRRefD21_10_0x" localSheetId="80">'415'!$D$64:$M$64</definedName>
    <definedName name="OSRRefD21_10_0x" localSheetId="81">'418'!$D$62:$M$62</definedName>
    <definedName name="OSRRefD21_10_0x" localSheetId="89">'433'!$D$64:$M$64</definedName>
    <definedName name="OSRRefD21_10_0x" localSheetId="91">'444'!$D$64:$M$64</definedName>
    <definedName name="OSRRefD21_10_0x" localSheetId="92">'450'!$D$60:$M$60</definedName>
    <definedName name="OSRRefD21_10_0x" localSheetId="73">'491'!$D$68:$M$68</definedName>
    <definedName name="OSRRefD21_10_0x" localSheetId="87">'492'!$D$64:$M$64</definedName>
    <definedName name="OSRRefD21_10_0x" localSheetId="94">'501'!$D$62:$M$62</definedName>
    <definedName name="OSRRefD21_10_0x" localSheetId="39">'Div 2'!$D$59:$M$59</definedName>
    <definedName name="OSRRefD21_10_0x" localSheetId="47">'Div 3'!$D$168:$M$168</definedName>
    <definedName name="OSRRefD21_10_0x" localSheetId="71">'Div 4'!$D$71:$M$71</definedName>
    <definedName name="OSRRefD21_10_0x" localSheetId="93">'Div 5'!$D$62:$M$62</definedName>
    <definedName name="OSRRefD21_10_0x" localSheetId="62">'Div 6'!$D$92:$M$92</definedName>
    <definedName name="OSRRefD21_10_0x" localSheetId="2">Summary!$D$199:$M$199</definedName>
    <definedName name="OSRRefD21_10_1x" localSheetId="41">'201'!$D$57:$M$57</definedName>
    <definedName name="OSRRefD21_10_1x" localSheetId="48">'300'!$D$165:$M$165</definedName>
    <definedName name="OSRRefD21_10_1x" localSheetId="49">'300 &amp; 317'!$D$189:$M$189</definedName>
    <definedName name="OSRRefD21_10_1x" localSheetId="53">'307'!$D$79:$M$79</definedName>
    <definedName name="OSRRefD21_10_1x" localSheetId="54">'308'!$D$102:$M$102</definedName>
    <definedName name="OSRRefD21_10_1x" localSheetId="55">'311'!$D$101:$M$101</definedName>
    <definedName name="OSRRefD21_10_1x" localSheetId="67">'321'!$D$64:$M$64</definedName>
    <definedName name="OSRRefD21_10_1x" localSheetId="69">'325'!$D$59:$M$59</definedName>
    <definedName name="OSRRefD21_10_1x" localSheetId="52">'330'!$D$83:$M$83</definedName>
    <definedName name="OSRRefD21_10_1x" localSheetId="57">'331'!$D$121:$M$121</definedName>
    <definedName name="OSRRefD21_10_1x" localSheetId="76">'411'!$D$61:$M$61</definedName>
    <definedName name="OSRRefD21_10_1x" localSheetId="77">'412'!$D$60:$M$60</definedName>
    <definedName name="OSRRefD21_10_1x" localSheetId="94">'501'!$D$63:$M$63</definedName>
    <definedName name="OSRRefD21_10_1x" localSheetId="47">'Div 3'!$D$169:$M$169</definedName>
    <definedName name="OSRRefD21_10_1x" localSheetId="93">'Div 5'!$D$63:$M$63</definedName>
    <definedName name="OSRRefD21_10_1x" localSheetId="2">Summary!$D$200:$M$200</definedName>
    <definedName name="OSRRefD21_10_2x" localSheetId="53">'307'!$D$80:$M$80</definedName>
    <definedName name="OSRRefD21_10_2x" localSheetId="52">'330'!$D$84:$M$84</definedName>
    <definedName name="OSRRefD21_10_2x" localSheetId="76">'411'!$D$62:$M$62</definedName>
    <definedName name="OSRRefD21_10_2x" localSheetId="77">'412'!$D$61:$M$61</definedName>
    <definedName name="OSRRefD21_10_3x" localSheetId="76">'411'!$D$63:$M$63</definedName>
    <definedName name="OSRRefD21_10_3x" localSheetId="77">'412'!$D$62:$M$62</definedName>
    <definedName name="OSRRefD21_10x_0" localSheetId="41">'201'!$D$56:$D$57</definedName>
    <definedName name="OSRRefD21_10x_0" localSheetId="42">'202'!$D$60</definedName>
    <definedName name="OSRRefD21_10x_0" localSheetId="43">'203'!$D$60</definedName>
    <definedName name="OSRRefD21_10x_0" localSheetId="44">'204'!$D$60</definedName>
    <definedName name="OSRRefD21_10x_0" localSheetId="48">'300'!$D$164:$D$165</definedName>
    <definedName name="OSRRefD21_10x_0" localSheetId="49">'300 &amp; 317'!$D$188:$D$189</definedName>
    <definedName name="OSRRefD21_10x_0" localSheetId="50">'301'!$D$60</definedName>
    <definedName name="OSRRefD21_10x_0" localSheetId="53">'307'!$D$78:$D$80</definedName>
    <definedName name="OSRRefD21_10x_0" localSheetId="54">'308'!$D$101:$D$102</definedName>
    <definedName name="OSRRefD21_10x_0" localSheetId="65">'309'!$D$60</definedName>
    <definedName name="OSRRefD21_10x_0" localSheetId="64">'310'!$D$67</definedName>
    <definedName name="OSRRefD21_10x_0" localSheetId="72">'310 &amp; 491'!$D$75</definedName>
    <definedName name="OSRRefD21_10x_0" localSheetId="55">'311'!$D$100:$D$101</definedName>
    <definedName name="OSRRefD21_10x_0" localSheetId="58">'315'!$D$120</definedName>
    <definedName name="OSRRefD21_10x_0" localSheetId="61">'316'!$D$75</definedName>
    <definedName name="OSRRefD21_10x_0" localSheetId="63">'317'!$D$92</definedName>
    <definedName name="OSRRefD21_10x_0" localSheetId="67">'321'!$D$63:$D$64</definedName>
    <definedName name="OSRRefD21_10x_0" localSheetId="68">'322'!$D$62</definedName>
    <definedName name="OSRRefD21_10x_0" localSheetId="69">'325'!$D$58:$D$59</definedName>
    <definedName name="OSRRefD21_10x_0" localSheetId="59">'326'!$D$84</definedName>
    <definedName name="OSRRefD21_10x_0" localSheetId="52">'330'!$D$82:$D$84</definedName>
    <definedName name="OSRRefD21_10x_0" localSheetId="57">'331'!$D$120:$D$121</definedName>
    <definedName name="OSRRefD21_10x_0" localSheetId="60">'332'!$D$77</definedName>
    <definedName name="OSRRefD21_10x_0" localSheetId="74">'405'!$D$61</definedName>
    <definedName name="OSRRefD21_10x_0" localSheetId="76">'411'!$D$60:$D$63</definedName>
    <definedName name="OSRRefD21_10x_0" localSheetId="77">'412'!$D$59:$D$62</definedName>
    <definedName name="OSRRefD21_10x_0" localSheetId="79">'414'!$D$62</definedName>
    <definedName name="OSRRefD21_10x_0" localSheetId="80">'415'!$D$64</definedName>
    <definedName name="OSRRefD21_10x_0" localSheetId="81">'418'!$D$62</definedName>
    <definedName name="OSRRefD21_10x_0" localSheetId="89">'433'!$D$64</definedName>
    <definedName name="OSRRefD21_10x_0" localSheetId="91">'444'!$D$64</definedName>
    <definedName name="OSRRefD21_10x_0" localSheetId="92">'450'!$D$60</definedName>
    <definedName name="OSRRefD21_10x_0" localSheetId="73">'491'!$D$68</definedName>
    <definedName name="OSRRefD21_10x_0" localSheetId="87">'492'!$D$64</definedName>
    <definedName name="OSRRefD21_10x_0" localSheetId="94">'501'!$D$62:$D$63</definedName>
    <definedName name="OSRRefD21_10x_0" localSheetId="39">'Div 2'!$D$59</definedName>
    <definedName name="OSRRefD21_10x_0" localSheetId="47">'Div 3'!$D$168:$D$169</definedName>
    <definedName name="OSRRefD21_10x_0" localSheetId="71">'Div 4'!$D$71</definedName>
    <definedName name="OSRRefD21_10x_0" localSheetId="93">'Div 5'!$D$62:$D$63</definedName>
    <definedName name="OSRRefD21_10x_0" localSheetId="62">'Div 6'!$D$92</definedName>
    <definedName name="OSRRefD21_10x_0" localSheetId="2">Summary!$D$199:$D$200</definedName>
    <definedName name="OSRRefD21_10x_1" localSheetId="41">'201'!$E$56:$E$57</definedName>
    <definedName name="OSRRefD21_10x_1" localSheetId="42">'202'!$E$60</definedName>
    <definedName name="OSRRefD21_10x_1" localSheetId="43">'203'!$E$60</definedName>
    <definedName name="OSRRefD21_10x_1" localSheetId="44">'204'!$E$60</definedName>
    <definedName name="OSRRefD21_10x_1" localSheetId="48">'300'!$E$164:$E$165</definedName>
    <definedName name="OSRRefD21_10x_1" localSheetId="49">'300 &amp; 317'!$E$188:$E$189</definedName>
    <definedName name="OSRRefD21_10x_1" localSheetId="50">'301'!$E$60</definedName>
    <definedName name="OSRRefD21_10x_1" localSheetId="53">'307'!$E$78:$E$80</definedName>
    <definedName name="OSRRefD21_10x_1" localSheetId="54">'308'!$E$101:$E$102</definedName>
    <definedName name="OSRRefD21_10x_1" localSheetId="65">'309'!$E$60</definedName>
    <definedName name="OSRRefD21_10x_1" localSheetId="64">'310'!$E$67</definedName>
    <definedName name="OSRRefD21_10x_1" localSheetId="72">'310 &amp; 491'!$E$75</definedName>
    <definedName name="OSRRefD21_10x_1" localSheetId="55">'311'!$E$100:$E$101</definedName>
    <definedName name="OSRRefD21_10x_1" localSheetId="58">'315'!$E$120</definedName>
    <definedName name="OSRRefD21_10x_1" localSheetId="61">'316'!$E$75</definedName>
    <definedName name="OSRRefD21_10x_1" localSheetId="63">'317'!$E$92</definedName>
    <definedName name="OSRRefD21_10x_1" localSheetId="67">'321'!$E$63:$E$64</definedName>
    <definedName name="OSRRefD21_10x_1" localSheetId="68">'322'!$E$62</definedName>
    <definedName name="OSRRefD21_10x_1" localSheetId="69">'325'!$E$58:$E$59</definedName>
    <definedName name="OSRRefD21_10x_1" localSheetId="59">'326'!$E$84</definedName>
    <definedName name="OSRRefD21_10x_1" localSheetId="52">'330'!$E$82:$E$84</definedName>
    <definedName name="OSRRefD21_10x_1" localSheetId="57">'331'!$E$120:$E$121</definedName>
    <definedName name="OSRRefD21_10x_1" localSheetId="60">'332'!$E$77</definedName>
    <definedName name="OSRRefD21_10x_1" localSheetId="74">'405'!$E$61</definedName>
    <definedName name="OSRRefD21_10x_1" localSheetId="76">'411'!$E$60:$E$63</definedName>
    <definedName name="OSRRefD21_10x_1" localSheetId="77">'412'!$E$59:$E$62</definedName>
    <definedName name="OSRRefD21_10x_1" localSheetId="79">'414'!$E$62</definedName>
    <definedName name="OSRRefD21_10x_1" localSheetId="80">'415'!$E$64</definedName>
    <definedName name="OSRRefD21_10x_1" localSheetId="81">'418'!$E$62</definedName>
    <definedName name="OSRRefD21_10x_1" localSheetId="89">'433'!$E$64</definedName>
    <definedName name="OSRRefD21_10x_1" localSheetId="91">'444'!$E$64</definedName>
    <definedName name="OSRRefD21_10x_1" localSheetId="92">'450'!$E$60</definedName>
    <definedName name="OSRRefD21_10x_1" localSheetId="73">'491'!$E$68</definedName>
    <definedName name="OSRRefD21_10x_1" localSheetId="87">'492'!$E$64</definedName>
    <definedName name="OSRRefD21_10x_1" localSheetId="94">'501'!$E$62:$E$63</definedName>
    <definedName name="OSRRefD21_10x_1" localSheetId="39">'Div 2'!$E$59</definedName>
    <definedName name="OSRRefD21_10x_1" localSheetId="47">'Div 3'!$E$168:$E$169</definedName>
    <definedName name="OSRRefD21_10x_1" localSheetId="71">'Div 4'!$E$71</definedName>
    <definedName name="OSRRefD21_10x_1" localSheetId="93">'Div 5'!$E$62:$E$63</definedName>
    <definedName name="OSRRefD21_10x_1" localSheetId="62">'Div 6'!$E$92</definedName>
    <definedName name="OSRRefD21_10x_1" localSheetId="2">Summary!$E$199:$E$200</definedName>
    <definedName name="OSRRefD21_10x_2" localSheetId="41">'201'!$F$56:$F$57</definedName>
    <definedName name="OSRRefD21_10x_2" localSheetId="42">'202'!$F$60</definedName>
    <definedName name="OSRRefD21_10x_2" localSheetId="43">'203'!$F$60</definedName>
    <definedName name="OSRRefD21_10x_2" localSheetId="44">'204'!$F$60</definedName>
    <definedName name="OSRRefD21_10x_2" localSheetId="48">'300'!$F$164:$F$165</definedName>
    <definedName name="OSRRefD21_10x_2" localSheetId="49">'300 &amp; 317'!$F$188:$F$189</definedName>
    <definedName name="OSRRefD21_10x_2" localSheetId="50">'301'!$F$60</definedName>
    <definedName name="OSRRefD21_10x_2" localSheetId="53">'307'!$F$78:$F$80</definedName>
    <definedName name="OSRRefD21_10x_2" localSheetId="54">'308'!$F$101:$F$102</definedName>
    <definedName name="OSRRefD21_10x_2" localSheetId="65">'309'!$F$60</definedName>
    <definedName name="OSRRefD21_10x_2" localSheetId="64">'310'!$F$67</definedName>
    <definedName name="OSRRefD21_10x_2" localSheetId="72">'310 &amp; 491'!$F$75</definedName>
    <definedName name="OSRRefD21_10x_2" localSheetId="55">'311'!$F$100:$F$101</definedName>
    <definedName name="OSRRefD21_10x_2" localSheetId="58">'315'!$F$120</definedName>
    <definedName name="OSRRefD21_10x_2" localSheetId="61">'316'!$F$75</definedName>
    <definedName name="OSRRefD21_10x_2" localSheetId="63">'317'!$F$92</definedName>
    <definedName name="OSRRefD21_10x_2" localSheetId="67">'321'!$F$63:$F$64</definedName>
    <definedName name="OSRRefD21_10x_2" localSheetId="68">'322'!$F$62</definedName>
    <definedName name="OSRRefD21_10x_2" localSheetId="69">'325'!$F$58:$F$59</definedName>
    <definedName name="OSRRefD21_10x_2" localSheetId="59">'326'!$F$84</definedName>
    <definedName name="OSRRefD21_10x_2" localSheetId="52">'330'!$F$82:$F$84</definedName>
    <definedName name="OSRRefD21_10x_2" localSheetId="57">'331'!$F$120:$F$121</definedName>
    <definedName name="OSRRefD21_10x_2" localSheetId="60">'332'!$F$77</definedName>
    <definedName name="OSRRefD21_10x_2" localSheetId="74">'405'!$F$61</definedName>
    <definedName name="OSRRefD21_10x_2" localSheetId="76">'411'!$F$60:$F$63</definedName>
    <definedName name="OSRRefD21_10x_2" localSheetId="77">'412'!$F$59:$F$62</definedName>
    <definedName name="OSRRefD21_10x_2" localSheetId="79">'414'!$F$62</definedName>
    <definedName name="OSRRefD21_10x_2" localSheetId="80">'415'!$F$64</definedName>
    <definedName name="OSRRefD21_10x_2" localSheetId="81">'418'!$F$62</definedName>
    <definedName name="OSRRefD21_10x_2" localSheetId="89">'433'!$F$64</definedName>
    <definedName name="OSRRefD21_10x_2" localSheetId="91">'444'!$F$64</definedName>
    <definedName name="OSRRefD21_10x_2" localSheetId="92">'450'!$F$60</definedName>
    <definedName name="OSRRefD21_10x_2" localSheetId="73">'491'!$F$68</definedName>
    <definedName name="OSRRefD21_10x_2" localSheetId="87">'492'!$F$64</definedName>
    <definedName name="OSRRefD21_10x_2" localSheetId="94">'501'!$F$62:$F$63</definedName>
    <definedName name="OSRRefD21_10x_2" localSheetId="39">'Div 2'!$F$59</definedName>
    <definedName name="OSRRefD21_10x_2" localSheetId="47">'Div 3'!$F$168:$F$169</definedName>
    <definedName name="OSRRefD21_10x_2" localSheetId="71">'Div 4'!$F$71</definedName>
    <definedName name="OSRRefD21_10x_2" localSheetId="93">'Div 5'!$F$62:$F$63</definedName>
    <definedName name="OSRRefD21_10x_2" localSheetId="62">'Div 6'!$F$92</definedName>
    <definedName name="OSRRefD21_10x_2" localSheetId="2">Summary!$F$199:$F$200</definedName>
    <definedName name="OSRRefD21_10x_3" localSheetId="41">'201'!$G$56:$G$57</definedName>
    <definedName name="OSRRefD21_10x_3" localSheetId="42">'202'!$G$60</definedName>
    <definedName name="OSRRefD21_10x_3" localSheetId="43">'203'!$G$60</definedName>
    <definedName name="OSRRefD21_10x_3" localSheetId="44">'204'!$G$60</definedName>
    <definedName name="OSRRefD21_10x_3" localSheetId="48">'300'!$G$164:$G$165</definedName>
    <definedName name="OSRRefD21_10x_3" localSheetId="49">'300 &amp; 317'!$G$188:$G$189</definedName>
    <definedName name="OSRRefD21_10x_3" localSheetId="50">'301'!$G$60</definedName>
    <definedName name="OSRRefD21_10x_3" localSheetId="53">'307'!$G$78:$G$80</definedName>
    <definedName name="OSRRefD21_10x_3" localSheetId="54">'308'!$G$101:$G$102</definedName>
    <definedName name="OSRRefD21_10x_3" localSheetId="65">'309'!$G$60</definedName>
    <definedName name="OSRRefD21_10x_3" localSheetId="64">'310'!$G$67</definedName>
    <definedName name="OSRRefD21_10x_3" localSheetId="72">'310 &amp; 491'!$G$75</definedName>
    <definedName name="OSRRefD21_10x_3" localSheetId="55">'311'!$G$100:$G$101</definedName>
    <definedName name="OSRRefD21_10x_3" localSheetId="58">'315'!$G$120</definedName>
    <definedName name="OSRRefD21_10x_3" localSheetId="61">'316'!$G$75</definedName>
    <definedName name="OSRRefD21_10x_3" localSheetId="63">'317'!$G$92</definedName>
    <definedName name="OSRRefD21_10x_3" localSheetId="67">'321'!$G$63:$G$64</definedName>
    <definedName name="OSRRefD21_10x_3" localSheetId="68">'322'!$G$62</definedName>
    <definedName name="OSRRefD21_10x_3" localSheetId="69">'325'!$G$58:$G$59</definedName>
    <definedName name="OSRRefD21_10x_3" localSheetId="59">'326'!$G$84</definedName>
    <definedName name="OSRRefD21_10x_3" localSheetId="52">'330'!$G$82:$G$84</definedName>
    <definedName name="OSRRefD21_10x_3" localSheetId="57">'331'!$G$120:$G$121</definedName>
    <definedName name="OSRRefD21_10x_3" localSheetId="60">'332'!$G$77</definedName>
    <definedName name="OSRRefD21_10x_3" localSheetId="74">'405'!$G$61</definedName>
    <definedName name="OSRRefD21_10x_3" localSheetId="76">'411'!$G$60:$G$63</definedName>
    <definedName name="OSRRefD21_10x_3" localSheetId="77">'412'!$G$59:$G$62</definedName>
    <definedName name="OSRRefD21_10x_3" localSheetId="79">'414'!$G$62</definedName>
    <definedName name="OSRRefD21_10x_3" localSheetId="80">'415'!$G$64</definedName>
    <definedName name="OSRRefD21_10x_3" localSheetId="81">'418'!$G$62</definedName>
    <definedName name="OSRRefD21_10x_3" localSheetId="89">'433'!$G$64</definedName>
    <definedName name="OSRRefD21_10x_3" localSheetId="91">'444'!$G$64</definedName>
    <definedName name="OSRRefD21_10x_3" localSheetId="92">'450'!$G$60</definedName>
    <definedName name="OSRRefD21_10x_3" localSheetId="73">'491'!$G$68</definedName>
    <definedName name="OSRRefD21_10x_3" localSheetId="87">'492'!$G$64</definedName>
    <definedName name="OSRRefD21_10x_3" localSheetId="94">'501'!$G$62:$G$63</definedName>
    <definedName name="OSRRefD21_10x_3" localSheetId="39">'Div 2'!$G$59</definedName>
    <definedName name="OSRRefD21_10x_3" localSheetId="47">'Div 3'!$G$168:$G$169</definedName>
    <definedName name="OSRRefD21_10x_3" localSheetId="71">'Div 4'!$G$71</definedName>
    <definedName name="OSRRefD21_10x_3" localSheetId="93">'Div 5'!$G$62:$G$63</definedName>
    <definedName name="OSRRefD21_10x_3" localSheetId="62">'Div 6'!$G$92</definedName>
    <definedName name="OSRRefD21_10x_3" localSheetId="2">Summary!$G$199:$G$200</definedName>
    <definedName name="OSRRefD21_10x_4" localSheetId="41">'201'!$H$56:$H$57</definedName>
    <definedName name="OSRRefD21_10x_4" localSheetId="42">'202'!$H$60</definedName>
    <definedName name="OSRRefD21_10x_4" localSheetId="43">'203'!$H$60</definedName>
    <definedName name="OSRRefD21_10x_4" localSheetId="44">'204'!$H$60</definedName>
    <definedName name="OSRRefD21_10x_4" localSheetId="48">'300'!$H$164:$H$165</definedName>
    <definedName name="OSRRefD21_10x_4" localSheetId="49">'300 &amp; 317'!$H$188:$H$189</definedName>
    <definedName name="OSRRefD21_10x_4" localSheetId="50">'301'!$H$60</definedName>
    <definedName name="OSRRefD21_10x_4" localSheetId="53">'307'!$H$78:$H$80</definedName>
    <definedName name="OSRRefD21_10x_4" localSheetId="54">'308'!$H$101:$H$102</definedName>
    <definedName name="OSRRefD21_10x_4" localSheetId="65">'309'!$H$60</definedName>
    <definedName name="OSRRefD21_10x_4" localSheetId="64">'310'!$H$67</definedName>
    <definedName name="OSRRefD21_10x_4" localSheetId="72">'310 &amp; 491'!$H$75</definedName>
    <definedName name="OSRRefD21_10x_4" localSheetId="55">'311'!$H$100:$H$101</definedName>
    <definedName name="OSRRefD21_10x_4" localSheetId="58">'315'!$H$120</definedName>
    <definedName name="OSRRefD21_10x_4" localSheetId="61">'316'!$H$75</definedName>
    <definedName name="OSRRefD21_10x_4" localSheetId="63">'317'!$H$92</definedName>
    <definedName name="OSRRefD21_10x_4" localSheetId="67">'321'!$H$63:$H$64</definedName>
    <definedName name="OSRRefD21_10x_4" localSheetId="68">'322'!$H$62</definedName>
    <definedName name="OSRRefD21_10x_4" localSheetId="69">'325'!$H$58:$H$59</definedName>
    <definedName name="OSRRefD21_10x_4" localSheetId="59">'326'!$H$84</definedName>
    <definedName name="OSRRefD21_10x_4" localSheetId="52">'330'!$H$82:$H$84</definedName>
    <definedName name="OSRRefD21_10x_4" localSheetId="57">'331'!$H$120:$H$121</definedName>
    <definedName name="OSRRefD21_10x_4" localSheetId="60">'332'!$H$77</definedName>
    <definedName name="OSRRefD21_10x_4" localSheetId="74">'405'!$H$61</definedName>
    <definedName name="OSRRefD21_10x_4" localSheetId="76">'411'!$H$60:$H$63</definedName>
    <definedName name="OSRRefD21_10x_4" localSheetId="77">'412'!$H$59:$H$62</definedName>
    <definedName name="OSRRefD21_10x_4" localSheetId="79">'414'!$H$62</definedName>
    <definedName name="OSRRefD21_10x_4" localSheetId="80">'415'!$H$64</definedName>
    <definedName name="OSRRefD21_10x_4" localSheetId="81">'418'!$H$62</definedName>
    <definedName name="OSRRefD21_10x_4" localSheetId="89">'433'!$H$64</definedName>
    <definedName name="OSRRefD21_10x_4" localSheetId="91">'444'!$H$64</definedName>
    <definedName name="OSRRefD21_10x_4" localSheetId="92">'450'!$H$60</definedName>
    <definedName name="OSRRefD21_10x_4" localSheetId="73">'491'!$H$68</definedName>
    <definedName name="OSRRefD21_10x_4" localSheetId="87">'492'!$H$64</definedName>
    <definedName name="OSRRefD21_10x_4" localSheetId="94">'501'!$H$62:$H$63</definedName>
    <definedName name="OSRRefD21_10x_4" localSheetId="39">'Div 2'!$H$59</definedName>
    <definedName name="OSRRefD21_10x_4" localSheetId="47">'Div 3'!$H$168:$H$169</definedName>
    <definedName name="OSRRefD21_10x_4" localSheetId="71">'Div 4'!$H$71</definedName>
    <definedName name="OSRRefD21_10x_4" localSheetId="93">'Div 5'!$H$62:$H$63</definedName>
    <definedName name="OSRRefD21_10x_4" localSheetId="62">'Div 6'!$H$92</definedName>
    <definedName name="OSRRefD21_10x_4" localSheetId="2">Summary!$H$199:$H$200</definedName>
    <definedName name="OSRRefD21_10x_5" localSheetId="41">'201'!$I$56:$I$57</definedName>
    <definedName name="OSRRefD21_10x_5" localSheetId="42">'202'!$I$60</definedName>
    <definedName name="OSRRefD21_10x_5" localSheetId="43">'203'!$I$60</definedName>
    <definedName name="OSRRefD21_10x_5" localSheetId="44">'204'!$I$60</definedName>
    <definedName name="OSRRefD21_10x_5" localSheetId="48">'300'!$I$164:$I$165</definedName>
    <definedName name="OSRRefD21_10x_5" localSheetId="49">'300 &amp; 317'!$I$188:$I$189</definedName>
    <definedName name="OSRRefD21_10x_5" localSheetId="50">'301'!$I$60</definedName>
    <definedName name="OSRRefD21_10x_5" localSheetId="53">'307'!$I$78:$I$80</definedName>
    <definedName name="OSRRefD21_10x_5" localSheetId="54">'308'!$I$101:$I$102</definedName>
    <definedName name="OSRRefD21_10x_5" localSheetId="65">'309'!$I$60</definedName>
    <definedName name="OSRRefD21_10x_5" localSheetId="64">'310'!$I$67</definedName>
    <definedName name="OSRRefD21_10x_5" localSheetId="72">'310 &amp; 491'!$I$75</definedName>
    <definedName name="OSRRefD21_10x_5" localSheetId="55">'311'!$I$100:$I$101</definedName>
    <definedName name="OSRRefD21_10x_5" localSheetId="58">'315'!$I$120</definedName>
    <definedName name="OSRRefD21_10x_5" localSheetId="61">'316'!$I$75</definedName>
    <definedName name="OSRRefD21_10x_5" localSheetId="63">'317'!$I$92</definedName>
    <definedName name="OSRRefD21_10x_5" localSheetId="67">'321'!$I$63:$I$64</definedName>
    <definedName name="OSRRefD21_10x_5" localSheetId="68">'322'!$I$62</definedName>
    <definedName name="OSRRefD21_10x_5" localSheetId="69">'325'!$I$58:$I$59</definedName>
    <definedName name="OSRRefD21_10x_5" localSheetId="59">'326'!$I$84</definedName>
    <definedName name="OSRRefD21_10x_5" localSheetId="52">'330'!$I$82:$I$84</definedName>
    <definedName name="OSRRefD21_10x_5" localSheetId="57">'331'!$I$120:$I$121</definedName>
    <definedName name="OSRRefD21_10x_5" localSheetId="60">'332'!$I$77</definedName>
    <definedName name="OSRRefD21_10x_5" localSheetId="74">'405'!$I$61</definedName>
    <definedName name="OSRRefD21_10x_5" localSheetId="76">'411'!$I$60:$I$63</definedName>
    <definedName name="OSRRefD21_10x_5" localSheetId="77">'412'!$I$59:$I$62</definedName>
    <definedName name="OSRRefD21_10x_5" localSheetId="79">'414'!$I$62</definedName>
    <definedName name="OSRRefD21_10x_5" localSheetId="80">'415'!$I$64</definedName>
    <definedName name="OSRRefD21_10x_5" localSheetId="81">'418'!$I$62</definedName>
    <definedName name="OSRRefD21_10x_5" localSheetId="89">'433'!$I$64</definedName>
    <definedName name="OSRRefD21_10x_5" localSheetId="91">'444'!$I$64</definedName>
    <definedName name="OSRRefD21_10x_5" localSheetId="92">'450'!$I$60</definedName>
    <definedName name="OSRRefD21_10x_5" localSheetId="73">'491'!$I$68</definedName>
    <definedName name="OSRRefD21_10x_5" localSheetId="87">'492'!$I$64</definedName>
    <definedName name="OSRRefD21_10x_5" localSheetId="94">'501'!$I$62:$I$63</definedName>
    <definedName name="OSRRefD21_10x_5" localSheetId="39">'Div 2'!$I$59</definedName>
    <definedName name="OSRRefD21_10x_5" localSheetId="47">'Div 3'!$I$168:$I$169</definedName>
    <definedName name="OSRRefD21_10x_5" localSheetId="71">'Div 4'!$I$71</definedName>
    <definedName name="OSRRefD21_10x_5" localSheetId="93">'Div 5'!$I$62:$I$63</definedName>
    <definedName name="OSRRefD21_10x_5" localSheetId="62">'Div 6'!$I$92</definedName>
    <definedName name="OSRRefD21_10x_5" localSheetId="2">Summary!$I$199:$I$200</definedName>
    <definedName name="OSRRefD21_10x_6" localSheetId="41">'201'!$J$56:$J$57</definedName>
    <definedName name="OSRRefD21_10x_6" localSheetId="42">'202'!$J$60</definedName>
    <definedName name="OSRRefD21_10x_6" localSheetId="43">'203'!$J$60</definedName>
    <definedName name="OSRRefD21_10x_6" localSheetId="44">'204'!$J$60</definedName>
    <definedName name="OSRRefD21_10x_6" localSheetId="48">'300'!$J$164:$J$165</definedName>
    <definedName name="OSRRefD21_10x_6" localSheetId="49">'300 &amp; 317'!$J$188:$J$189</definedName>
    <definedName name="OSRRefD21_10x_6" localSheetId="50">'301'!$J$60</definedName>
    <definedName name="OSRRefD21_10x_6" localSheetId="53">'307'!$J$78:$J$80</definedName>
    <definedName name="OSRRefD21_10x_6" localSheetId="54">'308'!$J$101:$J$102</definedName>
    <definedName name="OSRRefD21_10x_6" localSheetId="65">'309'!$J$60</definedName>
    <definedName name="OSRRefD21_10x_6" localSheetId="64">'310'!$J$67</definedName>
    <definedName name="OSRRefD21_10x_6" localSheetId="72">'310 &amp; 491'!$J$75</definedName>
    <definedName name="OSRRefD21_10x_6" localSheetId="55">'311'!$J$100:$J$101</definedName>
    <definedName name="OSRRefD21_10x_6" localSheetId="58">'315'!$J$120</definedName>
    <definedName name="OSRRefD21_10x_6" localSheetId="61">'316'!$J$75</definedName>
    <definedName name="OSRRefD21_10x_6" localSheetId="63">'317'!$J$92</definedName>
    <definedName name="OSRRefD21_10x_6" localSheetId="67">'321'!$J$63:$J$64</definedName>
    <definedName name="OSRRefD21_10x_6" localSheetId="68">'322'!$J$62</definedName>
    <definedName name="OSRRefD21_10x_6" localSheetId="69">'325'!$J$58:$J$59</definedName>
    <definedName name="OSRRefD21_10x_6" localSheetId="59">'326'!$J$84</definedName>
    <definedName name="OSRRefD21_10x_6" localSheetId="52">'330'!$J$82:$J$84</definedName>
    <definedName name="OSRRefD21_10x_6" localSheetId="57">'331'!$J$120:$J$121</definedName>
    <definedName name="OSRRefD21_10x_6" localSheetId="60">'332'!$J$77</definedName>
    <definedName name="OSRRefD21_10x_6" localSheetId="74">'405'!$J$61</definedName>
    <definedName name="OSRRefD21_10x_6" localSheetId="76">'411'!$J$60:$J$63</definedName>
    <definedName name="OSRRefD21_10x_6" localSheetId="77">'412'!$J$59:$J$62</definedName>
    <definedName name="OSRRefD21_10x_6" localSheetId="79">'414'!$J$62</definedName>
    <definedName name="OSRRefD21_10x_6" localSheetId="80">'415'!$J$64</definedName>
    <definedName name="OSRRefD21_10x_6" localSheetId="81">'418'!$J$62</definedName>
    <definedName name="OSRRefD21_10x_6" localSheetId="89">'433'!$J$64</definedName>
    <definedName name="OSRRefD21_10x_6" localSheetId="91">'444'!$J$64</definedName>
    <definedName name="OSRRefD21_10x_6" localSheetId="92">'450'!$J$60</definedName>
    <definedName name="OSRRefD21_10x_6" localSheetId="73">'491'!$J$68</definedName>
    <definedName name="OSRRefD21_10x_6" localSheetId="87">'492'!$J$64</definedName>
    <definedName name="OSRRefD21_10x_6" localSheetId="94">'501'!$J$62:$J$63</definedName>
    <definedName name="OSRRefD21_10x_6" localSheetId="39">'Div 2'!$J$59</definedName>
    <definedName name="OSRRefD21_10x_6" localSheetId="47">'Div 3'!$J$168:$J$169</definedName>
    <definedName name="OSRRefD21_10x_6" localSheetId="71">'Div 4'!$J$71</definedName>
    <definedName name="OSRRefD21_10x_6" localSheetId="93">'Div 5'!$J$62:$J$63</definedName>
    <definedName name="OSRRefD21_10x_6" localSheetId="62">'Div 6'!$J$92</definedName>
    <definedName name="OSRRefD21_10x_6" localSheetId="2">Summary!$J$199:$J$200</definedName>
    <definedName name="OSRRefD21_10x_7" localSheetId="41">'201'!$K$56:$K$57</definedName>
    <definedName name="OSRRefD21_10x_7" localSheetId="42">'202'!$K$60</definedName>
    <definedName name="OSRRefD21_10x_7" localSheetId="43">'203'!$K$60</definedName>
    <definedName name="OSRRefD21_10x_7" localSheetId="44">'204'!$K$60</definedName>
    <definedName name="OSRRefD21_10x_7" localSheetId="48">'300'!$K$164:$K$165</definedName>
    <definedName name="OSRRefD21_10x_7" localSheetId="49">'300 &amp; 317'!$K$188:$K$189</definedName>
    <definedName name="OSRRefD21_10x_7" localSheetId="50">'301'!$K$60</definedName>
    <definedName name="OSRRefD21_10x_7" localSheetId="53">'307'!$K$78:$K$80</definedName>
    <definedName name="OSRRefD21_10x_7" localSheetId="54">'308'!$K$101:$K$102</definedName>
    <definedName name="OSRRefD21_10x_7" localSheetId="65">'309'!$K$60</definedName>
    <definedName name="OSRRefD21_10x_7" localSheetId="64">'310'!$K$67</definedName>
    <definedName name="OSRRefD21_10x_7" localSheetId="72">'310 &amp; 491'!$K$75</definedName>
    <definedName name="OSRRefD21_10x_7" localSheetId="55">'311'!$K$100:$K$101</definedName>
    <definedName name="OSRRefD21_10x_7" localSheetId="58">'315'!$K$120</definedName>
    <definedName name="OSRRefD21_10x_7" localSheetId="61">'316'!$K$75</definedName>
    <definedName name="OSRRefD21_10x_7" localSheetId="63">'317'!$K$92</definedName>
    <definedName name="OSRRefD21_10x_7" localSheetId="67">'321'!$K$63:$K$64</definedName>
    <definedName name="OSRRefD21_10x_7" localSheetId="68">'322'!$K$62</definedName>
    <definedName name="OSRRefD21_10x_7" localSheetId="69">'325'!$K$58:$K$59</definedName>
    <definedName name="OSRRefD21_10x_7" localSheetId="59">'326'!$K$84</definedName>
    <definedName name="OSRRefD21_10x_7" localSheetId="52">'330'!$K$82:$K$84</definedName>
    <definedName name="OSRRefD21_10x_7" localSheetId="57">'331'!$K$120:$K$121</definedName>
    <definedName name="OSRRefD21_10x_7" localSheetId="60">'332'!$K$77</definedName>
    <definedName name="OSRRefD21_10x_7" localSheetId="74">'405'!$K$61</definedName>
    <definedName name="OSRRefD21_10x_7" localSheetId="76">'411'!$K$60:$K$63</definedName>
    <definedName name="OSRRefD21_10x_7" localSheetId="77">'412'!$K$59:$K$62</definedName>
    <definedName name="OSRRefD21_10x_7" localSheetId="79">'414'!$K$62</definedName>
    <definedName name="OSRRefD21_10x_7" localSheetId="80">'415'!$K$64</definedName>
    <definedName name="OSRRefD21_10x_7" localSheetId="81">'418'!$K$62</definedName>
    <definedName name="OSRRefD21_10x_7" localSheetId="89">'433'!$K$64</definedName>
    <definedName name="OSRRefD21_10x_7" localSheetId="91">'444'!$K$64</definedName>
    <definedName name="OSRRefD21_10x_7" localSheetId="92">'450'!$K$60</definedName>
    <definedName name="OSRRefD21_10x_7" localSheetId="73">'491'!$K$68</definedName>
    <definedName name="OSRRefD21_10x_7" localSheetId="87">'492'!$K$64</definedName>
    <definedName name="OSRRefD21_10x_7" localSheetId="94">'501'!$K$62:$K$63</definedName>
    <definedName name="OSRRefD21_10x_7" localSheetId="39">'Div 2'!$K$59</definedName>
    <definedName name="OSRRefD21_10x_7" localSheetId="47">'Div 3'!$K$168:$K$169</definedName>
    <definedName name="OSRRefD21_10x_7" localSheetId="71">'Div 4'!$K$71</definedName>
    <definedName name="OSRRefD21_10x_7" localSheetId="93">'Div 5'!$K$62:$K$63</definedName>
    <definedName name="OSRRefD21_10x_7" localSheetId="62">'Div 6'!$K$92</definedName>
    <definedName name="OSRRefD21_10x_7" localSheetId="2">Summary!$K$199:$K$200</definedName>
    <definedName name="OSRRefD21_10x_8" localSheetId="41">'201'!$L$56:$L$57</definedName>
    <definedName name="OSRRefD21_10x_8" localSheetId="42">'202'!$L$60</definedName>
    <definedName name="OSRRefD21_10x_8" localSheetId="43">'203'!$L$60</definedName>
    <definedName name="OSRRefD21_10x_8" localSheetId="44">'204'!$L$60</definedName>
    <definedName name="OSRRefD21_10x_8" localSheetId="48">'300'!$L$164:$L$165</definedName>
    <definedName name="OSRRefD21_10x_8" localSheetId="49">'300 &amp; 317'!$L$188:$L$189</definedName>
    <definedName name="OSRRefD21_10x_8" localSheetId="50">'301'!$L$60</definedName>
    <definedName name="OSRRefD21_10x_8" localSheetId="53">'307'!$L$78:$L$80</definedName>
    <definedName name="OSRRefD21_10x_8" localSheetId="54">'308'!$L$101:$L$102</definedName>
    <definedName name="OSRRefD21_10x_8" localSheetId="65">'309'!$L$60</definedName>
    <definedName name="OSRRefD21_10x_8" localSheetId="64">'310'!$L$67</definedName>
    <definedName name="OSRRefD21_10x_8" localSheetId="72">'310 &amp; 491'!$L$75</definedName>
    <definedName name="OSRRefD21_10x_8" localSheetId="55">'311'!$L$100:$L$101</definedName>
    <definedName name="OSRRefD21_10x_8" localSheetId="58">'315'!$L$120</definedName>
    <definedName name="OSRRefD21_10x_8" localSheetId="61">'316'!$L$75</definedName>
    <definedName name="OSRRefD21_10x_8" localSheetId="63">'317'!$L$92</definedName>
    <definedName name="OSRRefD21_10x_8" localSheetId="67">'321'!$L$63:$L$64</definedName>
    <definedName name="OSRRefD21_10x_8" localSheetId="68">'322'!$L$62</definedName>
    <definedName name="OSRRefD21_10x_8" localSheetId="69">'325'!$L$58:$L$59</definedName>
    <definedName name="OSRRefD21_10x_8" localSheetId="59">'326'!$L$84</definedName>
    <definedName name="OSRRefD21_10x_8" localSheetId="52">'330'!$L$82:$L$84</definedName>
    <definedName name="OSRRefD21_10x_8" localSheetId="57">'331'!$L$120:$L$121</definedName>
    <definedName name="OSRRefD21_10x_8" localSheetId="60">'332'!$L$77</definedName>
    <definedName name="OSRRefD21_10x_8" localSheetId="74">'405'!$L$61</definedName>
    <definedName name="OSRRefD21_10x_8" localSheetId="76">'411'!$L$60:$L$63</definedName>
    <definedName name="OSRRefD21_10x_8" localSheetId="77">'412'!$L$59:$L$62</definedName>
    <definedName name="OSRRefD21_10x_8" localSheetId="79">'414'!$L$62</definedName>
    <definedName name="OSRRefD21_10x_8" localSheetId="80">'415'!$L$64</definedName>
    <definedName name="OSRRefD21_10x_8" localSheetId="81">'418'!$L$62</definedName>
    <definedName name="OSRRefD21_10x_8" localSheetId="89">'433'!$L$64</definedName>
    <definedName name="OSRRefD21_10x_8" localSheetId="91">'444'!$L$64</definedName>
    <definedName name="OSRRefD21_10x_8" localSheetId="92">'450'!$L$60</definedName>
    <definedName name="OSRRefD21_10x_8" localSheetId="73">'491'!$L$68</definedName>
    <definedName name="OSRRefD21_10x_8" localSheetId="87">'492'!$L$64</definedName>
    <definedName name="OSRRefD21_10x_8" localSheetId="94">'501'!$L$62:$L$63</definedName>
    <definedName name="OSRRefD21_10x_8" localSheetId="39">'Div 2'!$L$59</definedName>
    <definedName name="OSRRefD21_10x_8" localSheetId="47">'Div 3'!$L$168:$L$169</definedName>
    <definedName name="OSRRefD21_10x_8" localSheetId="71">'Div 4'!$L$71</definedName>
    <definedName name="OSRRefD21_10x_8" localSheetId="93">'Div 5'!$L$62:$L$63</definedName>
    <definedName name="OSRRefD21_10x_8" localSheetId="62">'Div 6'!$L$92</definedName>
    <definedName name="OSRRefD21_10x_8" localSheetId="2">Summary!$L$199:$L$200</definedName>
    <definedName name="OSRRefD21_10x_9" localSheetId="41">'201'!$M$56:$M$57</definedName>
    <definedName name="OSRRefD21_10x_9" localSheetId="42">'202'!$M$60</definedName>
    <definedName name="OSRRefD21_10x_9" localSheetId="43">'203'!$M$60</definedName>
    <definedName name="OSRRefD21_10x_9" localSheetId="44">'204'!$M$60</definedName>
    <definedName name="OSRRefD21_10x_9" localSheetId="48">'300'!$M$164:$M$165</definedName>
    <definedName name="OSRRefD21_10x_9" localSheetId="49">'300 &amp; 317'!$M$188:$M$189</definedName>
    <definedName name="OSRRefD21_10x_9" localSheetId="50">'301'!$M$60</definedName>
    <definedName name="OSRRefD21_10x_9" localSheetId="53">'307'!$M$78:$M$80</definedName>
    <definedName name="OSRRefD21_10x_9" localSheetId="54">'308'!$M$101:$M$102</definedName>
    <definedName name="OSRRefD21_10x_9" localSheetId="65">'309'!$M$60</definedName>
    <definedName name="OSRRefD21_10x_9" localSheetId="64">'310'!$M$67</definedName>
    <definedName name="OSRRefD21_10x_9" localSheetId="72">'310 &amp; 491'!$M$75</definedName>
    <definedName name="OSRRefD21_10x_9" localSheetId="55">'311'!$M$100:$M$101</definedName>
    <definedName name="OSRRefD21_10x_9" localSheetId="58">'315'!$M$120</definedName>
    <definedName name="OSRRefD21_10x_9" localSheetId="61">'316'!$M$75</definedName>
    <definedName name="OSRRefD21_10x_9" localSheetId="63">'317'!$M$92</definedName>
    <definedName name="OSRRefD21_10x_9" localSheetId="67">'321'!$M$63:$M$64</definedName>
    <definedName name="OSRRefD21_10x_9" localSheetId="68">'322'!$M$62</definedName>
    <definedName name="OSRRefD21_10x_9" localSheetId="69">'325'!$M$58:$M$59</definedName>
    <definedName name="OSRRefD21_10x_9" localSheetId="59">'326'!$M$84</definedName>
    <definedName name="OSRRefD21_10x_9" localSheetId="52">'330'!$M$82:$M$84</definedName>
    <definedName name="OSRRefD21_10x_9" localSheetId="57">'331'!$M$120:$M$121</definedName>
    <definedName name="OSRRefD21_10x_9" localSheetId="60">'332'!$M$77</definedName>
    <definedName name="OSRRefD21_10x_9" localSheetId="74">'405'!$M$61</definedName>
    <definedName name="OSRRefD21_10x_9" localSheetId="76">'411'!$M$60:$M$63</definedName>
    <definedName name="OSRRefD21_10x_9" localSheetId="77">'412'!$M$59:$M$62</definedName>
    <definedName name="OSRRefD21_10x_9" localSheetId="79">'414'!$M$62</definedName>
    <definedName name="OSRRefD21_10x_9" localSheetId="80">'415'!$M$64</definedName>
    <definedName name="OSRRefD21_10x_9" localSheetId="81">'418'!$M$62</definedName>
    <definedName name="OSRRefD21_10x_9" localSheetId="89">'433'!$M$64</definedName>
    <definedName name="OSRRefD21_10x_9" localSheetId="91">'444'!$M$64</definedName>
    <definedName name="OSRRefD21_10x_9" localSheetId="92">'450'!$M$60</definedName>
    <definedName name="OSRRefD21_10x_9" localSheetId="73">'491'!$M$68</definedName>
    <definedName name="OSRRefD21_10x_9" localSheetId="87">'492'!$M$64</definedName>
    <definedName name="OSRRefD21_10x_9" localSheetId="94">'501'!$M$62:$M$63</definedName>
    <definedName name="OSRRefD21_10x_9" localSheetId="39">'Div 2'!$M$59</definedName>
    <definedName name="OSRRefD21_10x_9" localSheetId="47">'Div 3'!$M$168:$M$169</definedName>
    <definedName name="OSRRefD21_10x_9" localSheetId="71">'Div 4'!$M$71</definedName>
    <definedName name="OSRRefD21_10x_9" localSheetId="93">'Div 5'!$M$62:$M$63</definedName>
    <definedName name="OSRRefD21_10x_9" localSheetId="62">'Div 6'!$M$92</definedName>
    <definedName name="OSRRefD21_10x_9" localSheetId="2">Summary!$M$199:$M$200</definedName>
    <definedName name="OSRRefD21_11_0x" localSheetId="41">'201'!$D$59:$M$59</definedName>
    <definedName name="OSRRefD21_11_0x" localSheetId="42">'202'!$D$62:$M$62</definedName>
    <definedName name="OSRRefD21_11_0x" localSheetId="43">'203'!$D$62:$M$62</definedName>
    <definedName name="OSRRefD21_11_0x" localSheetId="48">'300'!$D$167:$M$167</definedName>
    <definedName name="OSRRefD21_11_0x" localSheetId="49">'300 &amp; 317'!$D$191:$M$191</definedName>
    <definedName name="OSRRefD21_11_0x" localSheetId="50">'301'!$D$62:$M$62</definedName>
    <definedName name="OSRRefD21_11_0x" localSheetId="53">'307'!$D$82:$M$82</definedName>
    <definedName name="OSRRefD21_11_0x" localSheetId="54">'308'!$D$104:$M$104</definedName>
    <definedName name="OSRRefD21_11_0x" localSheetId="64">'310'!$D$69:$M$69</definedName>
    <definedName name="OSRRefD21_11_0x" localSheetId="72">'310 &amp; 491'!$D$77:$M$77</definedName>
    <definedName name="OSRRefD21_11_0x" localSheetId="55">'311'!$D$103:$M$103</definedName>
    <definedName name="OSRRefD21_11_0x" localSheetId="58">'315'!$D$122:$M$122</definedName>
    <definedName name="OSRRefD21_11_0x" localSheetId="61">'316'!$D$77:$M$77</definedName>
    <definedName name="OSRRefD21_11_0x" localSheetId="63">'317'!$D$94:$M$94</definedName>
    <definedName name="OSRRefD21_11_0x" localSheetId="67">'321'!$D$66:$M$66</definedName>
    <definedName name="OSRRefD21_11_0x" localSheetId="69">'325'!$D$61:$M$61</definedName>
    <definedName name="OSRRefD21_11_0x" localSheetId="59">'326'!$D$86:$M$86</definedName>
    <definedName name="OSRRefD21_11_0x" localSheetId="52">'330'!$D$86:$M$86</definedName>
    <definedName name="OSRRefD21_11_0x" localSheetId="57">'331'!$D$123:$M$123</definedName>
    <definedName name="OSRRefD21_11_0x" localSheetId="60">'332'!$D$79:$M$79</definedName>
    <definedName name="OSRRefD21_11_0x" localSheetId="74">'405'!$D$63:$M$63</definedName>
    <definedName name="OSRRefD21_11_0x" localSheetId="76">'411'!$D$65:$M$65</definedName>
    <definedName name="OSRRefD21_11_0x" localSheetId="77">'412'!$D$64:$M$64</definedName>
    <definedName name="OSRRefD21_11_0x" localSheetId="79">'414'!$D$64:$M$64</definedName>
    <definedName name="OSRRefD21_11_0x" localSheetId="80">'415'!$D$66:$M$66</definedName>
    <definedName name="OSRRefD21_11_0x" localSheetId="81">'418'!$D$64:$M$64</definedName>
    <definedName name="OSRRefD21_11_0x" localSheetId="89">'433'!$D$66:$M$66</definedName>
    <definedName name="OSRRefD21_11_0x" localSheetId="91">'444'!$D$66:$M$66</definedName>
    <definedName name="OSRRefD21_11_0x" localSheetId="92">'450'!$D$62:$M$62</definedName>
    <definedName name="OSRRefD21_11_0x" localSheetId="73">'491'!$D$70:$M$70</definedName>
    <definedName name="OSRRefD21_11_0x" localSheetId="87">'492'!$D$66:$M$66</definedName>
    <definedName name="OSRRefD21_11_0x" localSheetId="94">'501'!$D$65:$M$65</definedName>
    <definedName name="OSRRefD21_11_0x" localSheetId="39">'Div 2'!$D$61:$M$61</definedName>
    <definedName name="OSRRefD21_11_0x" localSheetId="47">'Div 3'!$D$171:$M$171</definedName>
    <definedName name="OSRRefD21_11_0x" localSheetId="71">'Div 4'!$D$73:$M$73</definedName>
    <definedName name="OSRRefD21_11_0x" localSheetId="93">'Div 5'!$D$65:$M$65</definedName>
    <definedName name="OSRRefD21_11_0x" localSheetId="62">'Div 6'!$D$94:$M$94</definedName>
    <definedName name="OSRRefD21_11_0x" localSheetId="2">Summary!$D$202:$M$202</definedName>
    <definedName name="OSRRefD21_11_1x" localSheetId="41">'201'!$D$60:$M$60</definedName>
    <definedName name="OSRRefD21_11_1x" localSheetId="43">'203'!$D$63:$M$63</definedName>
    <definedName name="OSRRefD21_11_1x" localSheetId="48">'300'!$D$168:$M$168</definedName>
    <definedName name="OSRRefD21_11_1x" localSheetId="49">'300 &amp; 317'!$D$192:$M$192</definedName>
    <definedName name="OSRRefD21_11_1x" localSheetId="53">'307'!$D$83:$M$83</definedName>
    <definedName name="OSRRefD21_11_1x" localSheetId="54">'308'!$D$105:$M$105</definedName>
    <definedName name="OSRRefD21_11_1x" localSheetId="55">'311'!$D$104:$M$104</definedName>
    <definedName name="OSRRefD21_11_1x" localSheetId="63">'317'!$D$95:$M$95</definedName>
    <definedName name="OSRRefD21_11_1x" localSheetId="69">'325'!$D$62:$M$62</definedName>
    <definedName name="OSRRefD21_11_1x" localSheetId="52">'330'!$D$87:$M$87</definedName>
    <definedName name="OSRRefD21_11_1x" localSheetId="74">'405'!$D$64:$M$64</definedName>
    <definedName name="OSRRefD21_11_1x" localSheetId="77">'412'!$D$65:$M$65</definedName>
    <definedName name="OSRRefD21_11_1x" localSheetId="80">'415'!$D$67:$M$67</definedName>
    <definedName name="OSRRefD21_11_1x" localSheetId="81">'418'!$D$65:$M$65</definedName>
    <definedName name="OSRRefD21_11_1x" localSheetId="89">'433'!$D$67:$M$67</definedName>
    <definedName name="OSRRefD21_11_1x" localSheetId="91">'444'!$D$67:$M$67</definedName>
    <definedName name="OSRRefD21_11_1x" localSheetId="47">'Div 3'!$D$172:$M$172</definedName>
    <definedName name="OSRRefD21_11_1x" localSheetId="62">'Div 6'!$D$95:$M$95</definedName>
    <definedName name="OSRRefD21_11_1x" localSheetId="2">Summary!$D$203:$M$203</definedName>
    <definedName name="OSRRefD21_11_2x" localSheetId="43">'203'!$D$64:$M$64</definedName>
    <definedName name="OSRRefD21_11_2x" localSheetId="54">'308'!$D$106:$M$106</definedName>
    <definedName name="OSRRefD21_11_2x" localSheetId="55">'311'!$D$105:$M$105</definedName>
    <definedName name="OSRRefD21_11_2x" localSheetId="63">'317'!$D$96:$M$96</definedName>
    <definedName name="OSRRefD21_11_2x" localSheetId="74">'405'!$D$65:$M$65</definedName>
    <definedName name="OSRRefD21_11_2x" localSheetId="77">'412'!$D$66:$M$66</definedName>
    <definedName name="OSRRefD21_11_2x" localSheetId="81">'418'!$D$66:$M$66</definedName>
    <definedName name="OSRRefD21_11_2x" localSheetId="62">'Div 6'!$D$96:$M$96</definedName>
    <definedName name="OSRRefD21_11_3x" localSheetId="63">'317'!$D$97:$M$97</definedName>
    <definedName name="OSRRefD21_11_3x" localSheetId="74">'405'!$D$66:$M$66</definedName>
    <definedName name="OSRRefD21_11_3x" localSheetId="77">'412'!$D$67:$M$67</definedName>
    <definedName name="OSRRefD21_11_3x" localSheetId="81">'418'!$D$67:$M$67</definedName>
    <definedName name="OSRRefD21_11_3x" localSheetId="62">'Div 6'!$D$97:$M$97</definedName>
    <definedName name="OSRRefD21_11_4x" localSheetId="81">'418'!$D$68:$M$68</definedName>
    <definedName name="OSRRefD21_11_5x" localSheetId="81">'418'!$D$69:$M$69</definedName>
    <definedName name="OSRRefD21_11x_0" localSheetId="41">'201'!$D$59:$D$60</definedName>
    <definedName name="OSRRefD21_11x_0" localSheetId="42">'202'!$D$62</definedName>
    <definedName name="OSRRefD21_11x_0" localSheetId="43">'203'!$D$62:$D$64</definedName>
    <definedName name="OSRRefD21_11x_0" localSheetId="48">'300'!$D$167:$D$168</definedName>
    <definedName name="OSRRefD21_11x_0" localSheetId="49">'300 &amp; 317'!$D$191:$D$192</definedName>
    <definedName name="OSRRefD21_11x_0" localSheetId="50">'301'!$D$62</definedName>
    <definedName name="OSRRefD21_11x_0" localSheetId="53">'307'!$D$82:$D$83</definedName>
    <definedName name="OSRRefD21_11x_0" localSheetId="54">'308'!$D$104:$D$106</definedName>
    <definedName name="OSRRefD21_11x_0" localSheetId="64">'310'!$D$69</definedName>
    <definedName name="OSRRefD21_11x_0" localSheetId="72">'310 &amp; 491'!$D$77</definedName>
    <definedName name="OSRRefD21_11x_0" localSheetId="55">'311'!$D$103:$D$105</definedName>
    <definedName name="OSRRefD21_11x_0" localSheetId="58">'315'!$D$122</definedName>
    <definedName name="OSRRefD21_11x_0" localSheetId="61">'316'!$D$77</definedName>
    <definedName name="OSRRefD21_11x_0" localSheetId="63">'317'!$D$94:$D$97</definedName>
    <definedName name="OSRRefD21_11x_0" localSheetId="67">'321'!$D$66</definedName>
    <definedName name="OSRRefD21_11x_0" localSheetId="69">'325'!$D$61:$D$62</definedName>
    <definedName name="OSRRefD21_11x_0" localSheetId="59">'326'!$D$86</definedName>
    <definedName name="OSRRefD21_11x_0" localSheetId="52">'330'!$D$86:$D$87</definedName>
    <definedName name="OSRRefD21_11x_0" localSheetId="57">'331'!$D$123</definedName>
    <definedName name="OSRRefD21_11x_0" localSheetId="60">'332'!$D$79</definedName>
    <definedName name="OSRRefD21_11x_0" localSheetId="74">'405'!$D$63:$D$66</definedName>
    <definedName name="OSRRefD21_11x_0" localSheetId="76">'411'!$D$65</definedName>
    <definedName name="OSRRefD21_11x_0" localSheetId="77">'412'!$D$64:$D$67</definedName>
    <definedName name="OSRRefD21_11x_0" localSheetId="79">'414'!$D$64</definedName>
    <definedName name="OSRRefD21_11x_0" localSheetId="80">'415'!$D$66:$D$67</definedName>
    <definedName name="OSRRefD21_11x_0" localSheetId="81">'418'!$D$64:$D$69</definedName>
    <definedName name="OSRRefD21_11x_0" localSheetId="89">'433'!$D$66:$D$67</definedName>
    <definedName name="OSRRefD21_11x_0" localSheetId="91">'444'!$D$66:$D$67</definedName>
    <definedName name="OSRRefD21_11x_0" localSheetId="92">'450'!$D$62</definedName>
    <definedName name="OSRRefD21_11x_0" localSheetId="73">'491'!$D$70</definedName>
    <definedName name="OSRRefD21_11x_0" localSheetId="87">'492'!$D$66</definedName>
    <definedName name="OSRRefD21_11x_0" localSheetId="94">'501'!$D$65</definedName>
    <definedName name="OSRRefD21_11x_0" localSheetId="39">'Div 2'!$D$61</definedName>
    <definedName name="OSRRefD21_11x_0" localSheetId="47">'Div 3'!$D$171:$D$172</definedName>
    <definedName name="OSRRefD21_11x_0" localSheetId="71">'Div 4'!$D$73</definedName>
    <definedName name="OSRRefD21_11x_0" localSheetId="93">'Div 5'!$D$65</definedName>
    <definedName name="OSRRefD21_11x_0" localSheetId="62">'Div 6'!$D$94:$D$97</definedName>
    <definedName name="OSRRefD21_11x_0" localSheetId="2">Summary!$D$202:$D$203</definedName>
    <definedName name="OSRRefD21_11x_1" localSheetId="41">'201'!$E$59:$E$60</definedName>
    <definedName name="OSRRefD21_11x_1" localSheetId="42">'202'!$E$62</definedName>
    <definedName name="OSRRefD21_11x_1" localSheetId="43">'203'!$E$62:$E$64</definedName>
    <definedName name="OSRRefD21_11x_1" localSheetId="48">'300'!$E$167:$E$168</definedName>
    <definedName name="OSRRefD21_11x_1" localSheetId="49">'300 &amp; 317'!$E$191:$E$192</definedName>
    <definedName name="OSRRefD21_11x_1" localSheetId="50">'301'!$E$62</definedName>
    <definedName name="OSRRefD21_11x_1" localSheetId="53">'307'!$E$82:$E$83</definedName>
    <definedName name="OSRRefD21_11x_1" localSheetId="54">'308'!$E$104:$E$106</definedName>
    <definedName name="OSRRefD21_11x_1" localSheetId="64">'310'!$E$69</definedName>
    <definedName name="OSRRefD21_11x_1" localSheetId="72">'310 &amp; 491'!$E$77</definedName>
    <definedName name="OSRRefD21_11x_1" localSheetId="55">'311'!$E$103:$E$105</definedName>
    <definedName name="OSRRefD21_11x_1" localSheetId="58">'315'!$E$122</definedName>
    <definedName name="OSRRefD21_11x_1" localSheetId="61">'316'!$E$77</definedName>
    <definedName name="OSRRefD21_11x_1" localSheetId="63">'317'!$E$94:$E$97</definedName>
    <definedName name="OSRRefD21_11x_1" localSheetId="67">'321'!$E$66</definedName>
    <definedName name="OSRRefD21_11x_1" localSheetId="69">'325'!$E$61:$E$62</definedName>
    <definedName name="OSRRefD21_11x_1" localSheetId="59">'326'!$E$86</definedName>
    <definedName name="OSRRefD21_11x_1" localSheetId="52">'330'!$E$86:$E$87</definedName>
    <definedName name="OSRRefD21_11x_1" localSheetId="57">'331'!$E$123</definedName>
    <definedName name="OSRRefD21_11x_1" localSheetId="60">'332'!$E$79</definedName>
    <definedName name="OSRRefD21_11x_1" localSheetId="74">'405'!$E$63:$E$66</definedName>
    <definedName name="OSRRefD21_11x_1" localSheetId="76">'411'!$E$65</definedName>
    <definedName name="OSRRefD21_11x_1" localSheetId="77">'412'!$E$64:$E$67</definedName>
    <definedName name="OSRRefD21_11x_1" localSheetId="79">'414'!$E$64</definedName>
    <definedName name="OSRRefD21_11x_1" localSheetId="80">'415'!$E$66:$E$67</definedName>
    <definedName name="OSRRefD21_11x_1" localSheetId="81">'418'!$E$64:$E$69</definedName>
    <definedName name="OSRRefD21_11x_1" localSheetId="89">'433'!$E$66:$E$67</definedName>
    <definedName name="OSRRefD21_11x_1" localSheetId="91">'444'!$E$66:$E$67</definedName>
    <definedName name="OSRRefD21_11x_1" localSheetId="92">'450'!$E$62</definedName>
    <definedName name="OSRRefD21_11x_1" localSheetId="73">'491'!$E$70</definedName>
    <definedName name="OSRRefD21_11x_1" localSheetId="87">'492'!$E$66</definedName>
    <definedName name="OSRRefD21_11x_1" localSheetId="94">'501'!$E$65</definedName>
    <definedName name="OSRRefD21_11x_1" localSheetId="39">'Div 2'!$E$61</definedName>
    <definedName name="OSRRefD21_11x_1" localSheetId="47">'Div 3'!$E$171:$E$172</definedName>
    <definedName name="OSRRefD21_11x_1" localSheetId="71">'Div 4'!$E$73</definedName>
    <definedName name="OSRRefD21_11x_1" localSheetId="93">'Div 5'!$E$65</definedName>
    <definedName name="OSRRefD21_11x_1" localSheetId="62">'Div 6'!$E$94:$E$97</definedName>
    <definedName name="OSRRefD21_11x_1" localSheetId="2">Summary!$E$202:$E$203</definedName>
    <definedName name="OSRRefD21_11x_2" localSheetId="41">'201'!$F$59:$F$60</definedName>
    <definedName name="OSRRefD21_11x_2" localSheetId="42">'202'!$F$62</definedName>
    <definedName name="OSRRefD21_11x_2" localSheetId="43">'203'!$F$62:$F$64</definedName>
    <definedName name="OSRRefD21_11x_2" localSheetId="48">'300'!$F$167:$F$168</definedName>
    <definedName name="OSRRefD21_11x_2" localSheetId="49">'300 &amp; 317'!$F$191:$F$192</definedName>
    <definedName name="OSRRefD21_11x_2" localSheetId="50">'301'!$F$62</definedName>
    <definedName name="OSRRefD21_11x_2" localSheetId="53">'307'!$F$82:$F$83</definedName>
    <definedName name="OSRRefD21_11x_2" localSheetId="54">'308'!$F$104:$F$106</definedName>
    <definedName name="OSRRefD21_11x_2" localSheetId="64">'310'!$F$69</definedName>
    <definedName name="OSRRefD21_11x_2" localSheetId="72">'310 &amp; 491'!$F$77</definedName>
    <definedName name="OSRRefD21_11x_2" localSheetId="55">'311'!$F$103:$F$105</definedName>
    <definedName name="OSRRefD21_11x_2" localSheetId="58">'315'!$F$122</definedName>
    <definedName name="OSRRefD21_11x_2" localSheetId="61">'316'!$F$77</definedName>
    <definedName name="OSRRefD21_11x_2" localSheetId="63">'317'!$F$94:$F$97</definedName>
    <definedName name="OSRRefD21_11x_2" localSheetId="67">'321'!$F$66</definedName>
    <definedName name="OSRRefD21_11x_2" localSheetId="69">'325'!$F$61:$F$62</definedName>
    <definedName name="OSRRefD21_11x_2" localSheetId="59">'326'!$F$86</definedName>
    <definedName name="OSRRefD21_11x_2" localSheetId="52">'330'!$F$86:$F$87</definedName>
    <definedName name="OSRRefD21_11x_2" localSheetId="57">'331'!$F$123</definedName>
    <definedName name="OSRRefD21_11x_2" localSheetId="60">'332'!$F$79</definedName>
    <definedName name="OSRRefD21_11x_2" localSheetId="74">'405'!$F$63:$F$66</definedName>
    <definedName name="OSRRefD21_11x_2" localSheetId="76">'411'!$F$65</definedName>
    <definedName name="OSRRefD21_11x_2" localSheetId="77">'412'!$F$64:$F$67</definedName>
    <definedName name="OSRRefD21_11x_2" localSheetId="79">'414'!$F$64</definedName>
    <definedName name="OSRRefD21_11x_2" localSheetId="80">'415'!$F$66:$F$67</definedName>
    <definedName name="OSRRefD21_11x_2" localSheetId="81">'418'!$F$64:$F$69</definedName>
    <definedName name="OSRRefD21_11x_2" localSheetId="89">'433'!$F$66:$F$67</definedName>
    <definedName name="OSRRefD21_11x_2" localSheetId="91">'444'!$F$66:$F$67</definedName>
    <definedName name="OSRRefD21_11x_2" localSheetId="92">'450'!$F$62</definedName>
    <definedName name="OSRRefD21_11x_2" localSheetId="73">'491'!$F$70</definedName>
    <definedName name="OSRRefD21_11x_2" localSheetId="87">'492'!$F$66</definedName>
    <definedName name="OSRRefD21_11x_2" localSheetId="94">'501'!$F$65</definedName>
    <definedName name="OSRRefD21_11x_2" localSheetId="39">'Div 2'!$F$61</definedName>
    <definedName name="OSRRefD21_11x_2" localSheetId="47">'Div 3'!$F$171:$F$172</definedName>
    <definedName name="OSRRefD21_11x_2" localSheetId="71">'Div 4'!$F$73</definedName>
    <definedName name="OSRRefD21_11x_2" localSheetId="93">'Div 5'!$F$65</definedName>
    <definedName name="OSRRefD21_11x_2" localSheetId="62">'Div 6'!$F$94:$F$97</definedName>
    <definedName name="OSRRefD21_11x_2" localSheetId="2">Summary!$F$202:$F$203</definedName>
    <definedName name="OSRRefD21_11x_3" localSheetId="41">'201'!$G$59:$G$60</definedName>
    <definedName name="OSRRefD21_11x_3" localSheetId="42">'202'!$G$62</definedName>
    <definedName name="OSRRefD21_11x_3" localSheetId="43">'203'!$G$62:$G$64</definedName>
    <definedName name="OSRRefD21_11x_3" localSheetId="48">'300'!$G$167:$G$168</definedName>
    <definedName name="OSRRefD21_11x_3" localSheetId="49">'300 &amp; 317'!$G$191:$G$192</definedName>
    <definedName name="OSRRefD21_11x_3" localSheetId="50">'301'!$G$62</definedName>
    <definedName name="OSRRefD21_11x_3" localSheetId="53">'307'!$G$82:$G$83</definedName>
    <definedName name="OSRRefD21_11x_3" localSheetId="54">'308'!$G$104:$G$106</definedName>
    <definedName name="OSRRefD21_11x_3" localSheetId="64">'310'!$G$69</definedName>
    <definedName name="OSRRefD21_11x_3" localSheetId="72">'310 &amp; 491'!$G$77</definedName>
    <definedName name="OSRRefD21_11x_3" localSheetId="55">'311'!$G$103:$G$105</definedName>
    <definedName name="OSRRefD21_11x_3" localSheetId="58">'315'!$G$122</definedName>
    <definedName name="OSRRefD21_11x_3" localSheetId="61">'316'!$G$77</definedName>
    <definedName name="OSRRefD21_11x_3" localSheetId="63">'317'!$G$94:$G$97</definedName>
    <definedName name="OSRRefD21_11x_3" localSheetId="67">'321'!$G$66</definedName>
    <definedName name="OSRRefD21_11x_3" localSheetId="69">'325'!$G$61:$G$62</definedName>
    <definedName name="OSRRefD21_11x_3" localSheetId="59">'326'!$G$86</definedName>
    <definedName name="OSRRefD21_11x_3" localSheetId="52">'330'!$G$86:$G$87</definedName>
    <definedName name="OSRRefD21_11x_3" localSheetId="57">'331'!$G$123</definedName>
    <definedName name="OSRRefD21_11x_3" localSheetId="60">'332'!$G$79</definedName>
    <definedName name="OSRRefD21_11x_3" localSheetId="74">'405'!$G$63:$G$66</definedName>
    <definedName name="OSRRefD21_11x_3" localSheetId="76">'411'!$G$65</definedName>
    <definedName name="OSRRefD21_11x_3" localSheetId="77">'412'!$G$64:$G$67</definedName>
    <definedName name="OSRRefD21_11x_3" localSheetId="79">'414'!$G$64</definedName>
    <definedName name="OSRRefD21_11x_3" localSheetId="80">'415'!$G$66:$G$67</definedName>
    <definedName name="OSRRefD21_11x_3" localSheetId="81">'418'!$G$64:$G$69</definedName>
    <definedName name="OSRRefD21_11x_3" localSheetId="89">'433'!$G$66:$G$67</definedName>
    <definedName name="OSRRefD21_11x_3" localSheetId="91">'444'!$G$66:$G$67</definedName>
    <definedName name="OSRRefD21_11x_3" localSheetId="92">'450'!$G$62</definedName>
    <definedName name="OSRRefD21_11x_3" localSheetId="73">'491'!$G$70</definedName>
    <definedName name="OSRRefD21_11x_3" localSheetId="87">'492'!$G$66</definedName>
    <definedName name="OSRRefD21_11x_3" localSheetId="94">'501'!$G$65</definedName>
    <definedName name="OSRRefD21_11x_3" localSheetId="39">'Div 2'!$G$61</definedName>
    <definedName name="OSRRefD21_11x_3" localSheetId="47">'Div 3'!$G$171:$G$172</definedName>
    <definedName name="OSRRefD21_11x_3" localSheetId="71">'Div 4'!$G$73</definedName>
    <definedName name="OSRRefD21_11x_3" localSheetId="93">'Div 5'!$G$65</definedName>
    <definedName name="OSRRefD21_11x_3" localSheetId="62">'Div 6'!$G$94:$G$97</definedName>
    <definedName name="OSRRefD21_11x_3" localSheetId="2">Summary!$G$202:$G$203</definedName>
    <definedName name="OSRRefD21_11x_4" localSheetId="41">'201'!$H$59:$H$60</definedName>
    <definedName name="OSRRefD21_11x_4" localSheetId="42">'202'!$H$62</definedName>
    <definedName name="OSRRefD21_11x_4" localSheetId="43">'203'!$H$62:$H$64</definedName>
    <definedName name="OSRRefD21_11x_4" localSheetId="48">'300'!$H$167:$H$168</definedName>
    <definedName name="OSRRefD21_11x_4" localSheetId="49">'300 &amp; 317'!$H$191:$H$192</definedName>
    <definedName name="OSRRefD21_11x_4" localSheetId="50">'301'!$H$62</definedName>
    <definedName name="OSRRefD21_11x_4" localSheetId="53">'307'!$H$82:$H$83</definedName>
    <definedName name="OSRRefD21_11x_4" localSheetId="54">'308'!$H$104:$H$106</definedName>
    <definedName name="OSRRefD21_11x_4" localSheetId="64">'310'!$H$69</definedName>
    <definedName name="OSRRefD21_11x_4" localSheetId="72">'310 &amp; 491'!$H$77</definedName>
    <definedName name="OSRRefD21_11x_4" localSheetId="55">'311'!$H$103:$H$105</definedName>
    <definedName name="OSRRefD21_11x_4" localSheetId="58">'315'!$H$122</definedName>
    <definedName name="OSRRefD21_11x_4" localSheetId="61">'316'!$H$77</definedName>
    <definedName name="OSRRefD21_11x_4" localSheetId="63">'317'!$H$94:$H$97</definedName>
    <definedName name="OSRRefD21_11x_4" localSheetId="67">'321'!$H$66</definedName>
    <definedName name="OSRRefD21_11x_4" localSheetId="69">'325'!$H$61:$H$62</definedName>
    <definedName name="OSRRefD21_11x_4" localSheetId="59">'326'!$H$86</definedName>
    <definedName name="OSRRefD21_11x_4" localSheetId="52">'330'!$H$86:$H$87</definedName>
    <definedName name="OSRRefD21_11x_4" localSheetId="57">'331'!$H$123</definedName>
    <definedName name="OSRRefD21_11x_4" localSheetId="60">'332'!$H$79</definedName>
    <definedName name="OSRRefD21_11x_4" localSheetId="74">'405'!$H$63:$H$66</definedName>
    <definedName name="OSRRefD21_11x_4" localSheetId="76">'411'!$H$65</definedName>
    <definedName name="OSRRefD21_11x_4" localSheetId="77">'412'!$H$64:$H$67</definedName>
    <definedName name="OSRRefD21_11x_4" localSheetId="79">'414'!$H$64</definedName>
    <definedName name="OSRRefD21_11x_4" localSheetId="80">'415'!$H$66:$H$67</definedName>
    <definedName name="OSRRefD21_11x_4" localSheetId="81">'418'!$H$64:$H$69</definedName>
    <definedName name="OSRRefD21_11x_4" localSheetId="89">'433'!$H$66:$H$67</definedName>
    <definedName name="OSRRefD21_11x_4" localSheetId="91">'444'!$H$66:$H$67</definedName>
    <definedName name="OSRRefD21_11x_4" localSheetId="92">'450'!$H$62</definedName>
    <definedName name="OSRRefD21_11x_4" localSheetId="73">'491'!$H$70</definedName>
    <definedName name="OSRRefD21_11x_4" localSheetId="87">'492'!$H$66</definedName>
    <definedName name="OSRRefD21_11x_4" localSheetId="94">'501'!$H$65</definedName>
    <definedName name="OSRRefD21_11x_4" localSheetId="39">'Div 2'!$H$61</definedName>
    <definedName name="OSRRefD21_11x_4" localSheetId="47">'Div 3'!$H$171:$H$172</definedName>
    <definedName name="OSRRefD21_11x_4" localSheetId="71">'Div 4'!$H$73</definedName>
    <definedName name="OSRRefD21_11x_4" localSheetId="93">'Div 5'!$H$65</definedName>
    <definedName name="OSRRefD21_11x_4" localSheetId="62">'Div 6'!$H$94:$H$97</definedName>
    <definedName name="OSRRefD21_11x_4" localSheetId="2">Summary!$H$202:$H$203</definedName>
    <definedName name="OSRRefD21_11x_5" localSheetId="41">'201'!$I$59:$I$60</definedName>
    <definedName name="OSRRefD21_11x_5" localSheetId="42">'202'!$I$62</definedName>
    <definedName name="OSRRefD21_11x_5" localSheetId="43">'203'!$I$62:$I$64</definedName>
    <definedName name="OSRRefD21_11x_5" localSheetId="48">'300'!$I$167:$I$168</definedName>
    <definedName name="OSRRefD21_11x_5" localSheetId="49">'300 &amp; 317'!$I$191:$I$192</definedName>
    <definedName name="OSRRefD21_11x_5" localSheetId="50">'301'!$I$62</definedName>
    <definedName name="OSRRefD21_11x_5" localSheetId="53">'307'!$I$82:$I$83</definedName>
    <definedName name="OSRRefD21_11x_5" localSheetId="54">'308'!$I$104:$I$106</definedName>
    <definedName name="OSRRefD21_11x_5" localSheetId="64">'310'!$I$69</definedName>
    <definedName name="OSRRefD21_11x_5" localSheetId="72">'310 &amp; 491'!$I$77</definedName>
    <definedName name="OSRRefD21_11x_5" localSheetId="55">'311'!$I$103:$I$105</definedName>
    <definedName name="OSRRefD21_11x_5" localSheetId="58">'315'!$I$122</definedName>
    <definedName name="OSRRefD21_11x_5" localSheetId="61">'316'!$I$77</definedName>
    <definedName name="OSRRefD21_11x_5" localSheetId="63">'317'!$I$94:$I$97</definedName>
    <definedName name="OSRRefD21_11x_5" localSheetId="67">'321'!$I$66</definedName>
    <definedName name="OSRRefD21_11x_5" localSheetId="69">'325'!$I$61:$I$62</definedName>
    <definedName name="OSRRefD21_11x_5" localSheetId="59">'326'!$I$86</definedName>
    <definedName name="OSRRefD21_11x_5" localSheetId="52">'330'!$I$86:$I$87</definedName>
    <definedName name="OSRRefD21_11x_5" localSheetId="57">'331'!$I$123</definedName>
    <definedName name="OSRRefD21_11x_5" localSheetId="60">'332'!$I$79</definedName>
    <definedName name="OSRRefD21_11x_5" localSheetId="74">'405'!$I$63:$I$66</definedName>
    <definedName name="OSRRefD21_11x_5" localSheetId="76">'411'!$I$65</definedName>
    <definedName name="OSRRefD21_11x_5" localSheetId="77">'412'!$I$64:$I$67</definedName>
    <definedName name="OSRRefD21_11x_5" localSheetId="79">'414'!$I$64</definedName>
    <definedName name="OSRRefD21_11x_5" localSheetId="80">'415'!$I$66:$I$67</definedName>
    <definedName name="OSRRefD21_11x_5" localSheetId="81">'418'!$I$64:$I$69</definedName>
    <definedName name="OSRRefD21_11x_5" localSheetId="89">'433'!$I$66:$I$67</definedName>
    <definedName name="OSRRefD21_11x_5" localSheetId="91">'444'!$I$66:$I$67</definedName>
    <definedName name="OSRRefD21_11x_5" localSheetId="92">'450'!$I$62</definedName>
    <definedName name="OSRRefD21_11x_5" localSheetId="73">'491'!$I$70</definedName>
    <definedName name="OSRRefD21_11x_5" localSheetId="87">'492'!$I$66</definedName>
    <definedName name="OSRRefD21_11x_5" localSheetId="94">'501'!$I$65</definedName>
    <definedName name="OSRRefD21_11x_5" localSheetId="39">'Div 2'!$I$61</definedName>
    <definedName name="OSRRefD21_11x_5" localSheetId="47">'Div 3'!$I$171:$I$172</definedName>
    <definedName name="OSRRefD21_11x_5" localSheetId="71">'Div 4'!$I$73</definedName>
    <definedName name="OSRRefD21_11x_5" localSheetId="93">'Div 5'!$I$65</definedName>
    <definedName name="OSRRefD21_11x_5" localSheetId="62">'Div 6'!$I$94:$I$97</definedName>
    <definedName name="OSRRefD21_11x_5" localSheetId="2">Summary!$I$202:$I$203</definedName>
    <definedName name="OSRRefD21_11x_6" localSheetId="41">'201'!$J$59:$J$60</definedName>
    <definedName name="OSRRefD21_11x_6" localSheetId="42">'202'!$J$62</definedName>
    <definedName name="OSRRefD21_11x_6" localSheetId="43">'203'!$J$62:$J$64</definedName>
    <definedName name="OSRRefD21_11x_6" localSheetId="48">'300'!$J$167:$J$168</definedName>
    <definedName name="OSRRefD21_11x_6" localSheetId="49">'300 &amp; 317'!$J$191:$J$192</definedName>
    <definedName name="OSRRefD21_11x_6" localSheetId="50">'301'!$J$62</definedName>
    <definedName name="OSRRefD21_11x_6" localSheetId="53">'307'!$J$82:$J$83</definedName>
    <definedName name="OSRRefD21_11x_6" localSheetId="54">'308'!$J$104:$J$106</definedName>
    <definedName name="OSRRefD21_11x_6" localSheetId="64">'310'!$J$69</definedName>
    <definedName name="OSRRefD21_11x_6" localSheetId="72">'310 &amp; 491'!$J$77</definedName>
    <definedName name="OSRRefD21_11x_6" localSheetId="55">'311'!$J$103:$J$105</definedName>
    <definedName name="OSRRefD21_11x_6" localSheetId="58">'315'!$J$122</definedName>
    <definedName name="OSRRefD21_11x_6" localSheetId="61">'316'!$J$77</definedName>
    <definedName name="OSRRefD21_11x_6" localSheetId="63">'317'!$J$94:$J$97</definedName>
    <definedName name="OSRRefD21_11x_6" localSheetId="67">'321'!$J$66</definedName>
    <definedName name="OSRRefD21_11x_6" localSheetId="69">'325'!$J$61:$J$62</definedName>
    <definedName name="OSRRefD21_11x_6" localSheetId="59">'326'!$J$86</definedName>
    <definedName name="OSRRefD21_11x_6" localSheetId="52">'330'!$J$86:$J$87</definedName>
    <definedName name="OSRRefD21_11x_6" localSheetId="57">'331'!$J$123</definedName>
    <definedName name="OSRRefD21_11x_6" localSheetId="60">'332'!$J$79</definedName>
    <definedName name="OSRRefD21_11x_6" localSheetId="74">'405'!$J$63:$J$66</definedName>
    <definedName name="OSRRefD21_11x_6" localSheetId="76">'411'!$J$65</definedName>
    <definedName name="OSRRefD21_11x_6" localSheetId="77">'412'!$J$64:$J$67</definedName>
    <definedName name="OSRRefD21_11x_6" localSheetId="79">'414'!$J$64</definedName>
    <definedName name="OSRRefD21_11x_6" localSheetId="80">'415'!$J$66:$J$67</definedName>
    <definedName name="OSRRefD21_11x_6" localSheetId="81">'418'!$J$64:$J$69</definedName>
    <definedName name="OSRRefD21_11x_6" localSheetId="89">'433'!$J$66:$J$67</definedName>
    <definedName name="OSRRefD21_11x_6" localSheetId="91">'444'!$J$66:$J$67</definedName>
    <definedName name="OSRRefD21_11x_6" localSheetId="92">'450'!$J$62</definedName>
    <definedName name="OSRRefD21_11x_6" localSheetId="73">'491'!$J$70</definedName>
    <definedName name="OSRRefD21_11x_6" localSheetId="87">'492'!$J$66</definedName>
    <definedName name="OSRRefD21_11x_6" localSheetId="94">'501'!$J$65</definedName>
    <definedName name="OSRRefD21_11x_6" localSheetId="39">'Div 2'!$J$61</definedName>
    <definedName name="OSRRefD21_11x_6" localSheetId="47">'Div 3'!$J$171:$J$172</definedName>
    <definedName name="OSRRefD21_11x_6" localSheetId="71">'Div 4'!$J$73</definedName>
    <definedName name="OSRRefD21_11x_6" localSheetId="93">'Div 5'!$J$65</definedName>
    <definedName name="OSRRefD21_11x_6" localSheetId="62">'Div 6'!$J$94:$J$97</definedName>
    <definedName name="OSRRefD21_11x_6" localSheetId="2">Summary!$J$202:$J$203</definedName>
    <definedName name="OSRRefD21_11x_7" localSheetId="41">'201'!$K$59:$K$60</definedName>
    <definedName name="OSRRefD21_11x_7" localSheetId="42">'202'!$K$62</definedName>
    <definedName name="OSRRefD21_11x_7" localSheetId="43">'203'!$K$62:$K$64</definedName>
    <definedName name="OSRRefD21_11x_7" localSheetId="48">'300'!$K$167:$K$168</definedName>
    <definedName name="OSRRefD21_11x_7" localSheetId="49">'300 &amp; 317'!$K$191:$K$192</definedName>
    <definedName name="OSRRefD21_11x_7" localSheetId="50">'301'!$K$62</definedName>
    <definedName name="OSRRefD21_11x_7" localSheetId="53">'307'!$K$82:$K$83</definedName>
    <definedName name="OSRRefD21_11x_7" localSheetId="54">'308'!$K$104:$K$106</definedName>
    <definedName name="OSRRefD21_11x_7" localSheetId="64">'310'!$K$69</definedName>
    <definedName name="OSRRefD21_11x_7" localSheetId="72">'310 &amp; 491'!$K$77</definedName>
    <definedName name="OSRRefD21_11x_7" localSheetId="55">'311'!$K$103:$K$105</definedName>
    <definedName name="OSRRefD21_11x_7" localSheetId="58">'315'!$K$122</definedName>
    <definedName name="OSRRefD21_11x_7" localSheetId="61">'316'!$K$77</definedName>
    <definedName name="OSRRefD21_11x_7" localSheetId="63">'317'!$K$94:$K$97</definedName>
    <definedName name="OSRRefD21_11x_7" localSheetId="67">'321'!$K$66</definedName>
    <definedName name="OSRRefD21_11x_7" localSheetId="69">'325'!$K$61:$K$62</definedName>
    <definedName name="OSRRefD21_11x_7" localSheetId="59">'326'!$K$86</definedName>
    <definedName name="OSRRefD21_11x_7" localSheetId="52">'330'!$K$86:$K$87</definedName>
    <definedName name="OSRRefD21_11x_7" localSheetId="57">'331'!$K$123</definedName>
    <definedName name="OSRRefD21_11x_7" localSheetId="60">'332'!$K$79</definedName>
    <definedName name="OSRRefD21_11x_7" localSheetId="74">'405'!$K$63:$K$66</definedName>
    <definedName name="OSRRefD21_11x_7" localSheetId="76">'411'!$K$65</definedName>
    <definedName name="OSRRefD21_11x_7" localSheetId="77">'412'!$K$64:$K$67</definedName>
    <definedName name="OSRRefD21_11x_7" localSheetId="79">'414'!$K$64</definedName>
    <definedName name="OSRRefD21_11x_7" localSheetId="80">'415'!$K$66:$K$67</definedName>
    <definedName name="OSRRefD21_11x_7" localSheetId="81">'418'!$K$64:$K$69</definedName>
    <definedName name="OSRRefD21_11x_7" localSheetId="89">'433'!$K$66:$K$67</definedName>
    <definedName name="OSRRefD21_11x_7" localSheetId="91">'444'!$K$66:$K$67</definedName>
    <definedName name="OSRRefD21_11x_7" localSheetId="92">'450'!$K$62</definedName>
    <definedName name="OSRRefD21_11x_7" localSheetId="73">'491'!$K$70</definedName>
    <definedName name="OSRRefD21_11x_7" localSheetId="87">'492'!$K$66</definedName>
    <definedName name="OSRRefD21_11x_7" localSheetId="94">'501'!$K$65</definedName>
    <definedName name="OSRRefD21_11x_7" localSheetId="39">'Div 2'!$K$61</definedName>
    <definedName name="OSRRefD21_11x_7" localSheetId="47">'Div 3'!$K$171:$K$172</definedName>
    <definedName name="OSRRefD21_11x_7" localSheetId="71">'Div 4'!$K$73</definedName>
    <definedName name="OSRRefD21_11x_7" localSheetId="93">'Div 5'!$K$65</definedName>
    <definedName name="OSRRefD21_11x_7" localSheetId="62">'Div 6'!$K$94:$K$97</definedName>
    <definedName name="OSRRefD21_11x_7" localSheetId="2">Summary!$K$202:$K$203</definedName>
    <definedName name="OSRRefD21_11x_8" localSheetId="41">'201'!$L$59:$L$60</definedName>
    <definedName name="OSRRefD21_11x_8" localSheetId="42">'202'!$L$62</definedName>
    <definedName name="OSRRefD21_11x_8" localSheetId="43">'203'!$L$62:$L$64</definedName>
    <definedName name="OSRRefD21_11x_8" localSheetId="48">'300'!$L$167:$L$168</definedName>
    <definedName name="OSRRefD21_11x_8" localSheetId="49">'300 &amp; 317'!$L$191:$L$192</definedName>
    <definedName name="OSRRefD21_11x_8" localSheetId="50">'301'!$L$62</definedName>
    <definedName name="OSRRefD21_11x_8" localSheetId="53">'307'!$L$82:$L$83</definedName>
    <definedName name="OSRRefD21_11x_8" localSheetId="54">'308'!$L$104:$L$106</definedName>
    <definedName name="OSRRefD21_11x_8" localSheetId="64">'310'!$L$69</definedName>
    <definedName name="OSRRefD21_11x_8" localSheetId="72">'310 &amp; 491'!$L$77</definedName>
    <definedName name="OSRRefD21_11x_8" localSheetId="55">'311'!$L$103:$L$105</definedName>
    <definedName name="OSRRefD21_11x_8" localSheetId="58">'315'!$L$122</definedName>
    <definedName name="OSRRefD21_11x_8" localSheetId="61">'316'!$L$77</definedName>
    <definedName name="OSRRefD21_11x_8" localSheetId="63">'317'!$L$94:$L$97</definedName>
    <definedName name="OSRRefD21_11x_8" localSheetId="67">'321'!$L$66</definedName>
    <definedName name="OSRRefD21_11x_8" localSheetId="69">'325'!$L$61:$L$62</definedName>
    <definedName name="OSRRefD21_11x_8" localSheetId="59">'326'!$L$86</definedName>
    <definedName name="OSRRefD21_11x_8" localSheetId="52">'330'!$L$86:$L$87</definedName>
    <definedName name="OSRRefD21_11x_8" localSheetId="57">'331'!$L$123</definedName>
    <definedName name="OSRRefD21_11x_8" localSheetId="60">'332'!$L$79</definedName>
    <definedName name="OSRRefD21_11x_8" localSheetId="74">'405'!$L$63:$L$66</definedName>
    <definedName name="OSRRefD21_11x_8" localSheetId="76">'411'!$L$65</definedName>
    <definedName name="OSRRefD21_11x_8" localSheetId="77">'412'!$L$64:$L$67</definedName>
    <definedName name="OSRRefD21_11x_8" localSheetId="79">'414'!$L$64</definedName>
    <definedName name="OSRRefD21_11x_8" localSheetId="80">'415'!$L$66:$L$67</definedName>
    <definedName name="OSRRefD21_11x_8" localSheetId="81">'418'!$L$64:$L$69</definedName>
    <definedName name="OSRRefD21_11x_8" localSheetId="89">'433'!$L$66:$L$67</definedName>
    <definedName name="OSRRefD21_11x_8" localSheetId="91">'444'!$L$66:$L$67</definedName>
    <definedName name="OSRRefD21_11x_8" localSheetId="92">'450'!$L$62</definedName>
    <definedName name="OSRRefD21_11x_8" localSheetId="73">'491'!$L$70</definedName>
    <definedName name="OSRRefD21_11x_8" localSheetId="87">'492'!$L$66</definedName>
    <definedName name="OSRRefD21_11x_8" localSheetId="94">'501'!$L$65</definedName>
    <definedName name="OSRRefD21_11x_8" localSheetId="39">'Div 2'!$L$61</definedName>
    <definedName name="OSRRefD21_11x_8" localSheetId="47">'Div 3'!$L$171:$L$172</definedName>
    <definedName name="OSRRefD21_11x_8" localSheetId="71">'Div 4'!$L$73</definedName>
    <definedName name="OSRRefD21_11x_8" localSheetId="93">'Div 5'!$L$65</definedName>
    <definedName name="OSRRefD21_11x_8" localSheetId="62">'Div 6'!$L$94:$L$97</definedName>
    <definedName name="OSRRefD21_11x_8" localSheetId="2">Summary!$L$202:$L$203</definedName>
    <definedName name="OSRRefD21_11x_9" localSheetId="41">'201'!$M$59:$M$60</definedName>
    <definedName name="OSRRefD21_11x_9" localSheetId="42">'202'!$M$62</definedName>
    <definedName name="OSRRefD21_11x_9" localSheetId="43">'203'!$M$62:$M$64</definedName>
    <definedName name="OSRRefD21_11x_9" localSheetId="48">'300'!$M$167:$M$168</definedName>
    <definedName name="OSRRefD21_11x_9" localSheetId="49">'300 &amp; 317'!$M$191:$M$192</definedName>
    <definedName name="OSRRefD21_11x_9" localSheetId="50">'301'!$M$62</definedName>
    <definedName name="OSRRefD21_11x_9" localSheetId="53">'307'!$M$82:$M$83</definedName>
    <definedName name="OSRRefD21_11x_9" localSheetId="54">'308'!$M$104:$M$106</definedName>
    <definedName name="OSRRefD21_11x_9" localSheetId="64">'310'!$M$69</definedName>
    <definedName name="OSRRefD21_11x_9" localSheetId="72">'310 &amp; 491'!$M$77</definedName>
    <definedName name="OSRRefD21_11x_9" localSheetId="55">'311'!$M$103:$M$105</definedName>
    <definedName name="OSRRefD21_11x_9" localSheetId="58">'315'!$M$122</definedName>
    <definedName name="OSRRefD21_11x_9" localSheetId="61">'316'!$M$77</definedName>
    <definedName name="OSRRefD21_11x_9" localSheetId="63">'317'!$M$94:$M$97</definedName>
    <definedName name="OSRRefD21_11x_9" localSheetId="67">'321'!$M$66</definedName>
    <definedName name="OSRRefD21_11x_9" localSheetId="69">'325'!$M$61:$M$62</definedName>
    <definedName name="OSRRefD21_11x_9" localSheetId="59">'326'!$M$86</definedName>
    <definedName name="OSRRefD21_11x_9" localSheetId="52">'330'!$M$86:$M$87</definedName>
    <definedName name="OSRRefD21_11x_9" localSheetId="57">'331'!$M$123</definedName>
    <definedName name="OSRRefD21_11x_9" localSheetId="60">'332'!$M$79</definedName>
    <definedName name="OSRRefD21_11x_9" localSheetId="74">'405'!$M$63:$M$66</definedName>
    <definedName name="OSRRefD21_11x_9" localSheetId="76">'411'!$M$65</definedName>
    <definedName name="OSRRefD21_11x_9" localSheetId="77">'412'!$M$64:$M$67</definedName>
    <definedName name="OSRRefD21_11x_9" localSheetId="79">'414'!$M$64</definedName>
    <definedName name="OSRRefD21_11x_9" localSheetId="80">'415'!$M$66:$M$67</definedName>
    <definedName name="OSRRefD21_11x_9" localSheetId="81">'418'!$M$64:$M$69</definedName>
    <definedName name="OSRRefD21_11x_9" localSheetId="89">'433'!$M$66:$M$67</definedName>
    <definedName name="OSRRefD21_11x_9" localSheetId="91">'444'!$M$66:$M$67</definedName>
    <definedName name="OSRRefD21_11x_9" localSheetId="92">'450'!$M$62</definedName>
    <definedName name="OSRRefD21_11x_9" localSheetId="73">'491'!$M$70</definedName>
    <definedName name="OSRRefD21_11x_9" localSheetId="87">'492'!$M$66</definedName>
    <definedName name="OSRRefD21_11x_9" localSheetId="94">'501'!$M$65</definedName>
    <definedName name="OSRRefD21_11x_9" localSheetId="39">'Div 2'!$M$61</definedName>
    <definedName name="OSRRefD21_11x_9" localSheetId="47">'Div 3'!$M$171:$M$172</definedName>
    <definedName name="OSRRefD21_11x_9" localSheetId="71">'Div 4'!$M$73</definedName>
    <definedName name="OSRRefD21_11x_9" localSheetId="93">'Div 5'!$M$65</definedName>
    <definedName name="OSRRefD21_11x_9" localSheetId="62">'Div 6'!$M$94:$M$97</definedName>
    <definedName name="OSRRefD21_11x_9" localSheetId="2">Summary!$M$202:$M$203</definedName>
    <definedName name="OSRRefD21_12_0x" localSheetId="41">'201'!$D$62:$M$62</definedName>
    <definedName name="OSRRefD21_12_0x" localSheetId="42">'202'!$D$64:$M$64</definedName>
    <definedName name="OSRRefD21_12_0x" localSheetId="43">'203'!$D$66:$M$66</definedName>
    <definedName name="OSRRefD21_12_0x" localSheetId="48">'300'!$D$170:$M$170</definedName>
    <definedName name="OSRRefD21_12_0x" localSheetId="49">'300 &amp; 317'!$D$194:$M$194</definedName>
    <definedName name="OSRRefD21_12_0x" localSheetId="50">'301'!$D$64:$M$64</definedName>
    <definedName name="OSRRefD21_12_0x" localSheetId="53">'307'!$D$85:$M$85</definedName>
    <definedName name="OSRRefD21_12_0x" localSheetId="54">'308'!$D$108:$M$108</definedName>
    <definedName name="OSRRefD21_12_0x" localSheetId="64">'310'!$D$71:$M$71</definedName>
    <definedName name="OSRRefD21_12_0x" localSheetId="72">'310 &amp; 491'!$D$79:$M$79</definedName>
    <definedName name="OSRRefD21_12_0x" localSheetId="55">'311'!$D$107:$M$107</definedName>
    <definedName name="OSRRefD21_12_0x" localSheetId="58">'315'!$D$124:$M$124</definedName>
    <definedName name="OSRRefD21_12_0x" localSheetId="63">'317'!$D$99:$M$99</definedName>
    <definedName name="OSRRefD21_12_0x" localSheetId="69">'325'!$D$64:$M$64</definedName>
    <definedName name="OSRRefD21_12_0x" localSheetId="59">'326'!$D$88:$M$88</definedName>
    <definedName name="OSRRefD21_12_0x" localSheetId="52">'330'!$D$89:$M$89</definedName>
    <definedName name="OSRRefD21_12_0x" localSheetId="57">'331'!$D$125:$M$125</definedName>
    <definedName name="OSRRefD21_12_0x" localSheetId="74">'405'!$D$68:$M$68</definedName>
    <definedName name="OSRRefD21_12_0x" localSheetId="76">'411'!$D$67:$M$67</definedName>
    <definedName name="OSRRefD21_12_0x" localSheetId="77">'412'!$D$69:$M$69</definedName>
    <definedName name="OSRRefD21_12_0x" localSheetId="79">'414'!$D$66:$M$66</definedName>
    <definedName name="OSRRefD21_12_0x" localSheetId="80">'415'!$D$69:$M$69</definedName>
    <definedName name="OSRRefD21_12_0x" localSheetId="81">'418'!$D$71:$M$71</definedName>
    <definedName name="OSRRefD21_12_0x" localSheetId="89">'433'!$D$69:$M$69</definedName>
    <definedName name="OSRRefD21_12_0x" localSheetId="91">'444'!$D$69:$M$69</definedName>
    <definedName name="OSRRefD21_12_0x" localSheetId="92">'450'!$D$64:$M$64</definedName>
    <definedName name="OSRRefD21_12_0x" localSheetId="73">'491'!$D$72:$M$72</definedName>
    <definedName name="OSRRefD21_12_0x" localSheetId="87">'492'!$D$68:$M$68</definedName>
    <definedName name="OSRRefD21_12_0x" localSheetId="39">'Div 2'!$D$63:$M$63</definedName>
    <definedName name="OSRRefD21_12_0x" localSheetId="47">'Div 3'!$D$174:$M$174</definedName>
    <definedName name="OSRRefD21_12_0x" localSheetId="71">'Div 4'!$D$75:$M$75</definedName>
    <definedName name="OSRRefD21_12_0x" localSheetId="62">'Div 6'!$D$99:$M$99</definedName>
    <definedName name="OSRRefD21_12_0x" localSheetId="2">Summary!$D$205:$M$205</definedName>
    <definedName name="OSRRefD21_12_1x" localSheetId="54">'308'!$D$109:$M$109</definedName>
    <definedName name="OSRRefD21_12_1x" localSheetId="64">'310'!$D$72:$M$72</definedName>
    <definedName name="OSRRefD21_12_1x" localSheetId="55">'311'!$D$108:$M$108</definedName>
    <definedName name="OSRRefD21_12_1x" localSheetId="58">'315'!$D$125:$M$125</definedName>
    <definedName name="OSRRefD21_12_1x" localSheetId="69">'325'!$D$65:$M$65</definedName>
    <definedName name="OSRRefD21_12_1x" localSheetId="59">'326'!$D$89:$M$89</definedName>
    <definedName name="OSRRefD21_12_1x" localSheetId="76">'411'!$D$68:$M$68</definedName>
    <definedName name="OSRRefD21_12_1x" localSheetId="77">'412'!$D$70:$M$70</definedName>
    <definedName name="OSRRefD21_12_1x" localSheetId="79">'414'!$D$67:$M$67</definedName>
    <definedName name="OSRRefD21_12_1x" localSheetId="80">'415'!$D$70:$M$70</definedName>
    <definedName name="OSRRefD21_12_1x" localSheetId="81">'418'!$D$72:$M$72</definedName>
    <definedName name="OSRRefD21_12_1x" localSheetId="89">'433'!$D$70:$M$70</definedName>
    <definedName name="OSRRefD21_12_1x" localSheetId="91">'444'!$D$70:$M$70</definedName>
    <definedName name="OSRRefD21_12_1x" localSheetId="87">'492'!$D$69:$M$69</definedName>
    <definedName name="OSRRefD21_12_1x" localSheetId="39">'Div 2'!$D$64:$M$64</definedName>
    <definedName name="OSRRefD21_12_2x" localSheetId="58">'315'!$D$126:$M$126</definedName>
    <definedName name="OSRRefD21_12_2x" localSheetId="69">'325'!$D$66:$M$66</definedName>
    <definedName name="OSRRefD21_12_2x" localSheetId="59">'326'!$D$90:$M$90</definedName>
    <definedName name="OSRRefD21_12_2x" localSheetId="76">'411'!$D$69:$M$69</definedName>
    <definedName name="OSRRefD21_12_2x" localSheetId="79">'414'!$D$68:$M$68</definedName>
    <definedName name="OSRRefD21_12_2x" localSheetId="80">'415'!$D$71:$M$71</definedName>
    <definedName name="OSRRefD21_12_2x" localSheetId="89">'433'!$D$71:$M$71</definedName>
    <definedName name="OSRRefD21_12_2x" localSheetId="91">'444'!$D$71:$M$71</definedName>
    <definedName name="OSRRefD21_12_2x" localSheetId="87">'492'!$D$70:$M$70</definedName>
    <definedName name="OSRRefD21_12_2x" localSheetId="39">'Div 2'!$D$65:$M$65</definedName>
    <definedName name="OSRRefD21_12_3x" localSheetId="69">'325'!$D$67:$M$67</definedName>
    <definedName name="OSRRefD21_12_3x" localSheetId="76">'411'!$D$70:$M$70</definedName>
    <definedName name="OSRRefD21_12_3x" localSheetId="80">'415'!$D$72:$M$72</definedName>
    <definedName name="OSRRefD21_12_3x" localSheetId="89">'433'!$D$72:$M$72</definedName>
    <definedName name="OSRRefD21_12_3x" localSheetId="91">'444'!$D$72:$M$72</definedName>
    <definedName name="OSRRefD21_12_3x" localSheetId="39">'Div 2'!$D$66:$M$66</definedName>
    <definedName name="OSRRefD21_12_4x" localSheetId="69">'325'!$D$68:$M$68</definedName>
    <definedName name="OSRRefD21_12_4x" localSheetId="76">'411'!$D$71:$M$71</definedName>
    <definedName name="OSRRefD21_12_5x" localSheetId="76">'411'!$D$72:$M$72</definedName>
    <definedName name="OSRRefD21_12x_0" localSheetId="41">'201'!$D$62</definedName>
    <definedName name="OSRRefD21_12x_0" localSheetId="42">'202'!$D$64</definedName>
    <definedName name="OSRRefD21_12x_0" localSheetId="43">'203'!$D$66</definedName>
    <definedName name="OSRRefD21_12x_0" localSheetId="48">'300'!$D$170</definedName>
    <definedName name="OSRRefD21_12x_0" localSheetId="49">'300 &amp; 317'!$D$194</definedName>
    <definedName name="OSRRefD21_12x_0" localSheetId="50">'301'!$D$64</definedName>
    <definedName name="OSRRefD21_12x_0" localSheetId="53">'307'!$D$85</definedName>
    <definedName name="OSRRefD21_12x_0" localSheetId="54">'308'!$D$108:$D$109</definedName>
    <definedName name="OSRRefD21_12x_0" localSheetId="64">'310'!$D$71:$D$72</definedName>
    <definedName name="OSRRefD21_12x_0" localSheetId="72">'310 &amp; 491'!$D$79</definedName>
    <definedName name="OSRRefD21_12x_0" localSheetId="55">'311'!$D$107:$D$108</definedName>
    <definedName name="OSRRefD21_12x_0" localSheetId="58">'315'!$D$124:$D$126</definedName>
    <definedName name="OSRRefD21_12x_0" localSheetId="63">'317'!$D$99</definedName>
    <definedName name="OSRRefD21_12x_0" localSheetId="69">'325'!$D$64:$D$68</definedName>
    <definedName name="OSRRefD21_12x_0" localSheetId="59">'326'!$D$88:$D$90</definedName>
    <definedName name="OSRRefD21_12x_0" localSheetId="52">'330'!$D$89</definedName>
    <definedName name="OSRRefD21_12x_0" localSheetId="57">'331'!$D$125</definedName>
    <definedName name="OSRRefD21_12x_0" localSheetId="74">'405'!$D$68</definedName>
    <definedName name="OSRRefD21_12x_0" localSheetId="76">'411'!$D$67:$D$72</definedName>
    <definedName name="OSRRefD21_12x_0" localSheetId="77">'412'!$D$69:$D$70</definedName>
    <definedName name="OSRRefD21_12x_0" localSheetId="79">'414'!$D$66:$D$68</definedName>
    <definedName name="OSRRefD21_12x_0" localSheetId="80">'415'!$D$69:$D$72</definedName>
    <definedName name="OSRRefD21_12x_0" localSheetId="81">'418'!$D$71:$D$72</definedName>
    <definedName name="OSRRefD21_12x_0" localSheetId="89">'433'!$D$69:$D$72</definedName>
    <definedName name="OSRRefD21_12x_0" localSheetId="91">'444'!$D$69:$D$72</definedName>
    <definedName name="OSRRefD21_12x_0" localSheetId="92">'450'!$D$64</definedName>
    <definedName name="OSRRefD21_12x_0" localSheetId="73">'491'!$D$72</definedName>
    <definedName name="OSRRefD21_12x_0" localSheetId="87">'492'!$D$68:$D$70</definedName>
    <definedName name="OSRRefD21_12x_0" localSheetId="39">'Div 2'!$D$63:$D$66</definedName>
    <definedName name="OSRRefD21_12x_0" localSheetId="47">'Div 3'!$D$174</definedName>
    <definedName name="OSRRefD21_12x_0" localSheetId="71">'Div 4'!$D$75</definedName>
    <definedName name="OSRRefD21_12x_0" localSheetId="62">'Div 6'!$D$99</definedName>
    <definedName name="OSRRefD21_12x_0" localSheetId="2">Summary!$D$205</definedName>
    <definedName name="OSRRefD21_12x_1" localSheetId="41">'201'!$E$62</definedName>
    <definedName name="OSRRefD21_12x_1" localSheetId="42">'202'!$E$64</definedName>
    <definedName name="OSRRefD21_12x_1" localSheetId="43">'203'!$E$66</definedName>
    <definedName name="OSRRefD21_12x_1" localSheetId="48">'300'!$E$170</definedName>
    <definedName name="OSRRefD21_12x_1" localSheetId="49">'300 &amp; 317'!$E$194</definedName>
    <definedName name="OSRRefD21_12x_1" localSheetId="50">'301'!$E$64</definedName>
    <definedName name="OSRRefD21_12x_1" localSheetId="53">'307'!$E$85</definedName>
    <definedName name="OSRRefD21_12x_1" localSheetId="54">'308'!$E$108:$E$109</definedName>
    <definedName name="OSRRefD21_12x_1" localSheetId="64">'310'!$E$71:$E$72</definedName>
    <definedName name="OSRRefD21_12x_1" localSheetId="72">'310 &amp; 491'!$E$79</definedName>
    <definedName name="OSRRefD21_12x_1" localSheetId="55">'311'!$E$107:$E$108</definedName>
    <definedName name="OSRRefD21_12x_1" localSheetId="58">'315'!$E$124:$E$126</definedName>
    <definedName name="OSRRefD21_12x_1" localSheetId="63">'317'!$E$99</definedName>
    <definedName name="OSRRefD21_12x_1" localSheetId="69">'325'!$E$64:$E$68</definedName>
    <definedName name="OSRRefD21_12x_1" localSheetId="59">'326'!$E$88:$E$90</definedName>
    <definedName name="OSRRefD21_12x_1" localSheetId="52">'330'!$E$89</definedName>
    <definedName name="OSRRefD21_12x_1" localSheetId="57">'331'!$E$125</definedName>
    <definedName name="OSRRefD21_12x_1" localSheetId="74">'405'!$E$68</definedName>
    <definedName name="OSRRefD21_12x_1" localSheetId="76">'411'!$E$67:$E$72</definedName>
    <definedName name="OSRRefD21_12x_1" localSheetId="77">'412'!$E$69:$E$70</definedName>
    <definedName name="OSRRefD21_12x_1" localSheetId="79">'414'!$E$66:$E$68</definedName>
    <definedName name="OSRRefD21_12x_1" localSheetId="80">'415'!$E$69:$E$72</definedName>
    <definedName name="OSRRefD21_12x_1" localSheetId="81">'418'!$E$71:$E$72</definedName>
    <definedName name="OSRRefD21_12x_1" localSheetId="89">'433'!$E$69:$E$72</definedName>
    <definedName name="OSRRefD21_12x_1" localSheetId="91">'444'!$E$69:$E$72</definedName>
    <definedName name="OSRRefD21_12x_1" localSheetId="92">'450'!$E$64</definedName>
    <definedName name="OSRRefD21_12x_1" localSheetId="73">'491'!$E$72</definedName>
    <definedName name="OSRRefD21_12x_1" localSheetId="87">'492'!$E$68:$E$70</definedName>
    <definedName name="OSRRefD21_12x_1" localSheetId="39">'Div 2'!$E$63:$E$66</definedName>
    <definedName name="OSRRefD21_12x_1" localSheetId="47">'Div 3'!$E$174</definedName>
    <definedName name="OSRRefD21_12x_1" localSheetId="71">'Div 4'!$E$75</definedName>
    <definedName name="OSRRefD21_12x_1" localSheetId="62">'Div 6'!$E$99</definedName>
    <definedName name="OSRRefD21_12x_1" localSheetId="2">Summary!$E$205</definedName>
    <definedName name="OSRRefD21_12x_2" localSheetId="41">'201'!$F$62</definedName>
    <definedName name="OSRRefD21_12x_2" localSheetId="42">'202'!$F$64</definedName>
    <definedName name="OSRRefD21_12x_2" localSheetId="43">'203'!$F$66</definedName>
    <definedName name="OSRRefD21_12x_2" localSheetId="48">'300'!$F$170</definedName>
    <definedName name="OSRRefD21_12x_2" localSheetId="49">'300 &amp; 317'!$F$194</definedName>
    <definedName name="OSRRefD21_12x_2" localSheetId="50">'301'!$F$64</definedName>
    <definedName name="OSRRefD21_12x_2" localSheetId="53">'307'!$F$85</definedName>
    <definedName name="OSRRefD21_12x_2" localSheetId="54">'308'!$F$108:$F$109</definedName>
    <definedName name="OSRRefD21_12x_2" localSheetId="64">'310'!$F$71:$F$72</definedName>
    <definedName name="OSRRefD21_12x_2" localSheetId="72">'310 &amp; 491'!$F$79</definedName>
    <definedName name="OSRRefD21_12x_2" localSheetId="55">'311'!$F$107:$F$108</definedName>
    <definedName name="OSRRefD21_12x_2" localSheetId="58">'315'!$F$124:$F$126</definedName>
    <definedName name="OSRRefD21_12x_2" localSheetId="63">'317'!$F$99</definedName>
    <definedName name="OSRRefD21_12x_2" localSheetId="69">'325'!$F$64:$F$68</definedName>
    <definedName name="OSRRefD21_12x_2" localSheetId="59">'326'!$F$88:$F$90</definedName>
    <definedName name="OSRRefD21_12x_2" localSheetId="52">'330'!$F$89</definedName>
    <definedName name="OSRRefD21_12x_2" localSheetId="57">'331'!$F$125</definedName>
    <definedName name="OSRRefD21_12x_2" localSheetId="74">'405'!$F$68</definedName>
    <definedName name="OSRRefD21_12x_2" localSheetId="76">'411'!$F$67:$F$72</definedName>
    <definedName name="OSRRefD21_12x_2" localSheetId="77">'412'!$F$69:$F$70</definedName>
    <definedName name="OSRRefD21_12x_2" localSheetId="79">'414'!$F$66:$F$68</definedName>
    <definedName name="OSRRefD21_12x_2" localSheetId="80">'415'!$F$69:$F$72</definedName>
    <definedName name="OSRRefD21_12x_2" localSheetId="81">'418'!$F$71:$F$72</definedName>
    <definedName name="OSRRefD21_12x_2" localSheetId="89">'433'!$F$69:$F$72</definedName>
    <definedName name="OSRRefD21_12x_2" localSheetId="91">'444'!$F$69:$F$72</definedName>
    <definedName name="OSRRefD21_12x_2" localSheetId="92">'450'!$F$64</definedName>
    <definedName name="OSRRefD21_12x_2" localSheetId="73">'491'!$F$72</definedName>
    <definedName name="OSRRefD21_12x_2" localSheetId="87">'492'!$F$68:$F$70</definedName>
    <definedName name="OSRRefD21_12x_2" localSheetId="39">'Div 2'!$F$63:$F$66</definedName>
    <definedName name="OSRRefD21_12x_2" localSheetId="47">'Div 3'!$F$174</definedName>
    <definedName name="OSRRefD21_12x_2" localSheetId="71">'Div 4'!$F$75</definedName>
    <definedName name="OSRRefD21_12x_2" localSheetId="62">'Div 6'!$F$99</definedName>
    <definedName name="OSRRefD21_12x_2" localSheetId="2">Summary!$F$205</definedName>
    <definedName name="OSRRefD21_12x_3" localSheetId="41">'201'!$G$62</definedName>
    <definedName name="OSRRefD21_12x_3" localSheetId="42">'202'!$G$64</definedName>
    <definedName name="OSRRefD21_12x_3" localSheetId="43">'203'!$G$66</definedName>
    <definedName name="OSRRefD21_12x_3" localSheetId="48">'300'!$G$170</definedName>
    <definedName name="OSRRefD21_12x_3" localSheetId="49">'300 &amp; 317'!$G$194</definedName>
    <definedName name="OSRRefD21_12x_3" localSheetId="50">'301'!$G$64</definedName>
    <definedName name="OSRRefD21_12x_3" localSheetId="53">'307'!$G$85</definedName>
    <definedName name="OSRRefD21_12x_3" localSheetId="54">'308'!$G$108:$G$109</definedName>
    <definedName name="OSRRefD21_12x_3" localSheetId="64">'310'!$G$71:$G$72</definedName>
    <definedName name="OSRRefD21_12x_3" localSheetId="72">'310 &amp; 491'!$G$79</definedName>
    <definedName name="OSRRefD21_12x_3" localSheetId="55">'311'!$G$107:$G$108</definedName>
    <definedName name="OSRRefD21_12x_3" localSheetId="58">'315'!$G$124:$G$126</definedName>
    <definedName name="OSRRefD21_12x_3" localSheetId="63">'317'!$G$99</definedName>
    <definedName name="OSRRefD21_12x_3" localSheetId="69">'325'!$G$64:$G$68</definedName>
    <definedName name="OSRRefD21_12x_3" localSheetId="59">'326'!$G$88:$G$90</definedName>
    <definedName name="OSRRefD21_12x_3" localSheetId="52">'330'!$G$89</definedName>
    <definedName name="OSRRefD21_12x_3" localSheetId="57">'331'!$G$125</definedName>
    <definedName name="OSRRefD21_12x_3" localSheetId="74">'405'!$G$68</definedName>
    <definedName name="OSRRefD21_12x_3" localSheetId="76">'411'!$G$67:$G$72</definedName>
    <definedName name="OSRRefD21_12x_3" localSheetId="77">'412'!$G$69:$G$70</definedName>
    <definedName name="OSRRefD21_12x_3" localSheetId="79">'414'!$G$66:$G$68</definedName>
    <definedName name="OSRRefD21_12x_3" localSheetId="80">'415'!$G$69:$G$72</definedName>
    <definedName name="OSRRefD21_12x_3" localSheetId="81">'418'!$G$71:$G$72</definedName>
    <definedName name="OSRRefD21_12x_3" localSheetId="89">'433'!$G$69:$G$72</definedName>
    <definedName name="OSRRefD21_12x_3" localSheetId="91">'444'!$G$69:$G$72</definedName>
    <definedName name="OSRRefD21_12x_3" localSheetId="92">'450'!$G$64</definedName>
    <definedName name="OSRRefD21_12x_3" localSheetId="73">'491'!$G$72</definedName>
    <definedName name="OSRRefD21_12x_3" localSheetId="87">'492'!$G$68:$G$70</definedName>
    <definedName name="OSRRefD21_12x_3" localSheetId="39">'Div 2'!$G$63:$G$66</definedName>
    <definedName name="OSRRefD21_12x_3" localSheetId="47">'Div 3'!$G$174</definedName>
    <definedName name="OSRRefD21_12x_3" localSheetId="71">'Div 4'!$G$75</definedName>
    <definedName name="OSRRefD21_12x_3" localSheetId="62">'Div 6'!$G$99</definedName>
    <definedName name="OSRRefD21_12x_3" localSheetId="2">Summary!$G$205</definedName>
    <definedName name="OSRRefD21_12x_4" localSheetId="41">'201'!$H$62</definedName>
    <definedName name="OSRRefD21_12x_4" localSheetId="42">'202'!$H$64</definedName>
    <definedName name="OSRRefD21_12x_4" localSheetId="43">'203'!$H$66</definedName>
    <definedName name="OSRRefD21_12x_4" localSheetId="48">'300'!$H$170</definedName>
    <definedName name="OSRRefD21_12x_4" localSheetId="49">'300 &amp; 317'!$H$194</definedName>
    <definedName name="OSRRefD21_12x_4" localSheetId="50">'301'!$H$64</definedName>
    <definedName name="OSRRefD21_12x_4" localSheetId="53">'307'!$H$85</definedName>
    <definedName name="OSRRefD21_12x_4" localSheetId="54">'308'!$H$108:$H$109</definedName>
    <definedName name="OSRRefD21_12x_4" localSheetId="64">'310'!$H$71:$H$72</definedName>
    <definedName name="OSRRefD21_12x_4" localSheetId="72">'310 &amp; 491'!$H$79</definedName>
    <definedName name="OSRRefD21_12x_4" localSheetId="55">'311'!$H$107:$H$108</definedName>
    <definedName name="OSRRefD21_12x_4" localSheetId="58">'315'!$H$124:$H$126</definedName>
    <definedName name="OSRRefD21_12x_4" localSheetId="63">'317'!$H$99</definedName>
    <definedName name="OSRRefD21_12x_4" localSheetId="69">'325'!$H$64:$H$68</definedName>
    <definedName name="OSRRefD21_12x_4" localSheetId="59">'326'!$H$88:$H$90</definedName>
    <definedName name="OSRRefD21_12x_4" localSheetId="52">'330'!$H$89</definedName>
    <definedName name="OSRRefD21_12x_4" localSheetId="57">'331'!$H$125</definedName>
    <definedName name="OSRRefD21_12x_4" localSheetId="74">'405'!$H$68</definedName>
    <definedName name="OSRRefD21_12x_4" localSheetId="76">'411'!$H$67:$H$72</definedName>
    <definedName name="OSRRefD21_12x_4" localSheetId="77">'412'!$H$69:$H$70</definedName>
    <definedName name="OSRRefD21_12x_4" localSheetId="79">'414'!$H$66:$H$68</definedName>
    <definedName name="OSRRefD21_12x_4" localSheetId="80">'415'!$H$69:$H$72</definedName>
    <definedName name="OSRRefD21_12x_4" localSheetId="81">'418'!$H$71:$H$72</definedName>
    <definedName name="OSRRefD21_12x_4" localSheetId="89">'433'!$H$69:$H$72</definedName>
    <definedName name="OSRRefD21_12x_4" localSheetId="91">'444'!$H$69:$H$72</definedName>
    <definedName name="OSRRefD21_12x_4" localSheetId="92">'450'!$H$64</definedName>
    <definedName name="OSRRefD21_12x_4" localSheetId="73">'491'!$H$72</definedName>
    <definedName name="OSRRefD21_12x_4" localSheetId="87">'492'!$H$68:$H$70</definedName>
    <definedName name="OSRRefD21_12x_4" localSheetId="39">'Div 2'!$H$63:$H$66</definedName>
    <definedName name="OSRRefD21_12x_4" localSheetId="47">'Div 3'!$H$174</definedName>
    <definedName name="OSRRefD21_12x_4" localSheetId="71">'Div 4'!$H$75</definedName>
    <definedName name="OSRRefD21_12x_4" localSheetId="62">'Div 6'!$H$99</definedName>
    <definedName name="OSRRefD21_12x_4" localSheetId="2">Summary!$H$205</definedName>
    <definedName name="OSRRefD21_12x_5" localSheetId="41">'201'!$I$62</definedName>
    <definedName name="OSRRefD21_12x_5" localSheetId="42">'202'!$I$64</definedName>
    <definedName name="OSRRefD21_12x_5" localSheetId="43">'203'!$I$66</definedName>
    <definedName name="OSRRefD21_12x_5" localSheetId="48">'300'!$I$170</definedName>
    <definedName name="OSRRefD21_12x_5" localSheetId="49">'300 &amp; 317'!$I$194</definedName>
    <definedName name="OSRRefD21_12x_5" localSheetId="50">'301'!$I$64</definedName>
    <definedName name="OSRRefD21_12x_5" localSheetId="53">'307'!$I$85</definedName>
    <definedName name="OSRRefD21_12x_5" localSheetId="54">'308'!$I$108:$I$109</definedName>
    <definedName name="OSRRefD21_12x_5" localSheetId="64">'310'!$I$71:$I$72</definedName>
    <definedName name="OSRRefD21_12x_5" localSheetId="72">'310 &amp; 491'!$I$79</definedName>
    <definedName name="OSRRefD21_12x_5" localSheetId="55">'311'!$I$107:$I$108</definedName>
    <definedName name="OSRRefD21_12x_5" localSheetId="58">'315'!$I$124:$I$126</definedName>
    <definedName name="OSRRefD21_12x_5" localSheetId="63">'317'!$I$99</definedName>
    <definedName name="OSRRefD21_12x_5" localSheetId="69">'325'!$I$64:$I$68</definedName>
    <definedName name="OSRRefD21_12x_5" localSheetId="59">'326'!$I$88:$I$90</definedName>
    <definedName name="OSRRefD21_12x_5" localSheetId="52">'330'!$I$89</definedName>
    <definedName name="OSRRefD21_12x_5" localSheetId="57">'331'!$I$125</definedName>
    <definedName name="OSRRefD21_12x_5" localSheetId="74">'405'!$I$68</definedName>
    <definedName name="OSRRefD21_12x_5" localSheetId="76">'411'!$I$67:$I$72</definedName>
    <definedName name="OSRRefD21_12x_5" localSheetId="77">'412'!$I$69:$I$70</definedName>
    <definedName name="OSRRefD21_12x_5" localSheetId="79">'414'!$I$66:$I$68</definedName>
    <definedName name="OSRRefD21_12x_5" localSheetId="80">'415'!$I$69:$I$72</definedName>
    <definedName name="OSRRefD21_12x_5" localSheetId="81">'418'!$I$71:$I$72</definedName>
    <definedName name="OSRRefD21_12x_5" localSheetId="89">'433'!$I$69:$I$72</definedName>
    <definedName name="OSRRefD21_12x_5" localSheetId="91">'444'!$I$69:$I$72</definedName>
    <definedName name="OSRRefD21_12x_5" localSheetId="92">'450'!$I$64</definedName>
    <definedName name="OSRRefD21_12x_5" localSheetId="73">'491'!$I$72</definedName>
    <definedName name="OSRRefD21_12x_5" localSheetId="87">'492'!$I$68:$I$70</definedName>
    <definedName name="OSRRefD21_12x_5" localSheetId="39">'Div 2'!$I$63:$I$66</definedName>
    <definedName name="OSRRefD21_12x_5" localSheetId="47">'Div 3'!$I$174</definedName>
    <definedName name="OSRRefD21_12x_5" localSheetId="71">'Div 4'!$I$75</definedName>
    <definedName name="OSRRefD21_12x_5" localSheetId="62">'Div 6'!$I$99</definedName>
    <definedName name="OSRRefD21_12x_5" localSheetId="2">Summary!$I$205</definedName>
    <definedName name="OSRRefD21_12x_6" localSheetId="41">'201'!$J$62</definedName>
    <definedName name="OSRRefD21_12x_6" localSheetId="42">'202'!$J$64</definedName>
    <definedName name="OSRRefD21_12x_6" localSheetId="43">'203'!$J$66</definedName>
    <definedName name="OSRRefD21_12x_6" localSheetId="48">'300'!$J$170</definedName>
    <definedName name="OSRRefD21_12x_6" localSheetId="49">'300 &amp; 317'!$J$194</definedName>
    <definedName name="OSRRefD21_12x_6" localSheetId="50">'301'!$J$64</definedName>
    <definedName name="OSRRefD21_12x_6" localSheetId="53">'307'!$J$85</definedName>
    <definedName name="OSRRefD21_12x_6" localSheetId="54">'308'!$J$108:$J$109</definedName>
    <definedName name="OSRRefD21_12x_6" localSheetId="64">'310'!$J$71:$J$72</definedName>
    <definedName name="OSRRefD21_12x_6" localSheetId="72">'310 &amp; 491'!$J$79</definedName>
    <definedName name="OSRRefD21_12x_6" localSheetId="55">'311'!$J$107:$J$108</definedName>
    <definedName name="OSRRefD21_12x_6" localSheetId="58">'315'!$J$124:$J$126</definedName>
    <definedName name="OSRRefD21_12x_6" localSheetId="63">'317'!$J$99</definedName>
    <definedName name="OSRRefD21_12x_6" localSheetId="69">'325'!$J$64:$J$68</definedName>
    <definedName name="OSRRefD21_12x_6" localSheetId="59">'326'!$J$88:$J$90</definedName>
    <definedName name="OSRRefD21_12x_6" localSheetId="52">'330'!$J$89</definedName>
    <definedName name="OSRRefD21_12x_6" localSheetId="57">'331'!$J$125</definedName>
    <definedName name="OSRRefD21_12x_6" localSheetId="74">'405'!$J$68</definedName>
    <definedName name="OSRRefD21_12x_6" localSheetId="76">'411'!$J$67:$J$72</definedName>
    <definedName name="OSRRefD21_12x_6" localSheetId="77">'412'!$J$69:$J$70</definedName>
    <definedName name="OSRRefD21_12x_6" localSheetId="79">'414'!$J$66:$J$68</definedName>
    <definedName name="OSRRefD21_12x_6" localSheetId="80">'415'!$J$69:$J$72</definedName>
    <definedName name="OSRRefD21_12x_6" localSheetId="81">'418'!$J$71:$J$72</definedName>
    <definedName name="OSRRefD21_12x_6" localSheetId="89">'433'!$J$69:$J$72</definedName>
    <definedName name="OSRRefD21_12x_6" localSheetId="91">'444'!$J$69:$J$72</definedName>
    <definedName name="OSRRefD21_12x_6" localSheetId="92">'450'!$J$64</definedName>
    <definedName name="OSRRefD21_12x_6" localSheetId="73">'491'!$J$72</definedName>
    <definedName name="OSRRefD21_12x_6" localSheetId="87">'492'!$J$68:$J$70</definedName>
    <definedName name="OSRRefD21_12x_6" localSheetId="39">'Div 2'!$J$63:$J$66</definedName>
    <definedName name="OSRRefD21_12x_6" localSheetId="47">'Div 3'!$J$174</definedName>
    <definedName name="OSRRefD21_12x_6" localSheetId="71">'Div 4'!$J$75</definedName>
    <definedName name="OSRRefD21_12x_6" localSheetId="62">'Div 6'!$J$99</definedName>
    <definedName name="OSRRefD21_12x_6" localSheetId="2">Summary!$J$205</definedName>
    <definedName name="OSRRefD21_12x_7" localSheetId="41">'201'!$K$62</definedName>
    <definedName name="OSRRefD21_12x_7" localSheetId="42">'202'!$K$64</definedName>
    <definedName name="OSRRefD21_12x_7" localSheetId="43">'203'!$K$66</definedName>
    <definedName name="OSRRefD21_12x_7" localSheetId="48">'300'!$K$170</definedName>
    <definedName name="OSRRefD21_12x_7" localSheetId="49">'300 &amp; 317'!$K$194</definedName>
    <definedName name="OSRRefD21_12x_7" localSheetId="50">'301'!$K$64</definedName>
    <definedName name="OSRRefD21_12x_7" localSheetId="53">'307'!$K$85</definedName>
    <definedName name="OSRRefD21_12x_7" localSheetId="54">'308'!$K$108:$K$109</definedName>
    <definedName name="OSRRefD21_12x_7" localSheetId="64">'310'!$K$71:$K$72</definedName>
    <definedName name="OSRRefD21_12x_7" localSheetId="72">'310 &amp; 491'!$K$79</definedName>
    <definedName name="OSRRefD21_12x_7" localSheetId="55">'311'!$K$107:$K$108</definedName>
    <definedName name="OSRRefD21_12x_7" localSheetId="58">'315'!$K$124:$K$126</definedName>
    <definedName name="OSRRefD21_12x_7" localSheetId="63">'317'!$K$99</definedName>
    <definedName name="OSRRefD21_12x_7" localSheetId="69">'325'!$K$64:$K$68</definedName>
    <definedName name="OSRRefD21_12x_7" localSheetId="59">'326'!$K$88:$K$90</definedName>
    <definedName name="OSRRefD21_12x_7" localSheetId="52">'330'!$K$89</definedName>
    <definedName name="OSRRefD21_12x_7" localSheetId="57">'331'!$K$125</definedName>
    <definedName name="OSRRefD21_12x_7" localSheetId="74">'405'!$K$68</definedName>
    <definedName name="OSRRefD21_12x_7" localSheetId="76">'411'!$K$67:$K$72</definedName>
    <definedName name="OSRRefD21_12x_7" localSheetId="77">'412'!$K$69:$K$70</definedName>
    <definedName name="OSRRefD21_12x_7" localSheetId="79">'414'!$K$66:$K$68</definedName>
    <definedName name="OSRRefD21_12x_7" localSheetId="80">'415'!$K$69:$K$72</definedName>
    <definedName name="OSRRefD21_12x_7" localSheetId="81">'418'!$K$71:$K$72</definedName>
    <definedName name="OSRRefD21_12x_7" localSheetId="89">'433'!$K$69:$K$72</definedName>
    <definedName name="OSRRefD21_12x_7" localSheetId="91">'444'!$K$69:$K$72</definedName>
    <definedName name="OSRRefD21_12x_7" localSheetId="92">'450'!$K$64</definedName>
    <definedName name="OSRRefD21_12x_7" localSheetId="73">'491'!$K$72</definedName>
    <definedName name="OSRRefD21_12x_7" localSheetId="87">'492'!$K$68:$K$70</definedName>
    <definedName name="OSRRefD21_12x_7" localSheetId="39">'Div 2'!$K$63:$K$66</definedName>
    <definedName name="OSRRefD21_12x_7" localSheetId="47">'Div 3'!$K$174</definedName>
    <definedName name="OSRRefD21_12x_7" localSheetId="71">'Div 4'!$K$75</definedName>
    <definedName name="OSRRefD21_12x_7" localSheetId="62">'Div 6'!$K$99</definedName>
    <definedName name="OSRRefD21_12x_7" localSheetId="2">Summary!$K$205</definedName>
    <definedName name="OSRRefD21_12x_8" localSheetId="41">'201'!$L$62</definedName>
    <definedName name="OSRRefD21_12x_8" localSheetId="42">'202'!$L$64</definedName>
    <definedName name="OSRRefD21_12x_8" localSheetId="43">'203'!$L$66</definedName>
    <definedName name="OSRRefD21_12x_8" localSheetId="48">'300'!$L$170</definedName>
    <definedName name="OSRRefD21_12x_8" localSheetId="49">'300 &amp; 317'!$L$194</definedName>
    <definedName name="OSRRefD21_12x_8" localSheetId="50">'301'!$L$64</definedName>
    <definedName name="OSRRefD21_12x_8" localSheetId="53">'307'!$L$85</definedName>
    <definedName name="OSRRefD21_12x_8" localSheetId="54">'308'!$L$108:$L$109</definedName>
    <definedName name="OSRRefD21_12x_8" localSheetId="64">'310'!$L$71:$L$72</definedName>
    <definedName name="OSRRefD21_12x_8" localSheetId="72">'310 &amp; 491'!$L$79</definedName>
    <definedName name="OSRRefD21_12x_8" localSheetId="55">'311'!$L$107:$L$108</definedName>
    <definedName name="OSRRefD21_12x_8" localSheetId="58">'315'!$L$124:$L$126</definedName>
    <definedName name="OSRRefD21_12x_8" localSheetId="63">'317'!$L$99</definedName>
    <definedName name="OSRRefD21_12x_8" localSheetId="69">'325'!$L$64:$L$68</definedName>
    <definedName name="OSRRefD21_12x_8" localSheetId="59">'326'!$L$88:$L$90</definedName>
    <definedName name="OSRRefD21_12x_8" localSheetId="52">'330'!$L$89</definedName>
    <definedName name="OSRRefD21_12x_8" localSheetId="57">'331'!$L$125</definedName>
    <definedName name="OSRRefD21_12x_8" localSheetId="74">'405'!$L$68</definedName>
    <definedName name="OSRRefD21_12x_8" localSheetId="76">'411'!$L$67:$L$72</definedName>
    <definedName name="OSRRefD21_12x_8" localSheetId="77">'412'!$L$69:$L$70</definedName>
    <definedName name="OSRRefD21_12x_8" localSheetId="79">'414'!$L$66:$L$68</definedName>
    <definedName name="OSRRefD21_12x_8" localSheetId="80">'415'!$L$69:$L$72</definedName>
    <definedName name="OSRRefD21_12x_8" localSheetId="81">'418'!$L$71:$L$72</definedName>
    <definedName name="OSRRefD21_12x_8" localSheetId="89">'433'!$L$69:$L$72</definedName>
    <definedName name="OSRRefD21_12x_8" localSheetId="91">'444'!$L$69:$L$72</definedName>
    <definedName name="OSRRefD21_12x_8" localSheetId="92">'450'!$L$64</definedName>
    <definedName name="OSRRefD21_12x_8" localSheetId="73">'491'!$L$72</definedName>
    <definedName name="OSRRefD21_12x_8" localSheetId="87">'492'!$L$68:$L$70</definedName>
    <definedName name="OSRRefD21_12x_8" localSheetId="39">'Div 2'!$L$63:$L$66</definedName>
    <definedName name="OSRRefD21_12x_8" localSheetId="47">'Div 3'!$L$174</definedName>
    <definedName name="OSRRefD21_12x_8" localSheetId="71">'Div 4'!$L$75</definedName>
    <definedName name="OSRRefD21_12x_8" localSheetId="62">'Div 6'!$L$99</definedName>
    <definedName name="OSRRefD21_12x_8" localSheetId="2">Summary!$L$205</definedName>
    <definedName name="OSRRefD21_12x_9" localSheetId="41">'201'!$M$62</definedName>
    <definedName name="OSRRefD21_12x_9" localSheetId="42">'202'!$M$64</definedName>
    <definedName name="OSRRefD21_12x_9" localSheetId="43">'203'!$M$66</definedName>
    <definedName name="OSRRefD21_12x_9" localSheetId="48">'300'!$M$170</definedName>
    <definedName name="OSRRefD21_12x_9" localSheetId="49">'300 &amp; 317'!$M$194</definedName>
    <definedName name="OSRRefD21_12x_9" localSheetId="50">'301'!$M$64</definedName>
    <definedName name="OSRRefD21_12x_9" localSheetId="53">'307'!$M$85</definedName>
    <definedName name="OSRRefD21_12x_9" localSheetId="54">'308'!$M$108:$M$109</definedName>
    <definedName name="OSRRefD21_12x_9" localSheetId="64">'310'!$M$71:$M$72</definedName>
    <definedName name="OSRRefD21_12x_9" localSheetId="72">'310 &amp; 491'!$M$79</definedName>
    <definedName name="OSRRefD21_12x_9" localSheetId="55">'311'!$M$107:$M$108</definedName>
    <definedName name="OSRRefD21_12x_9" localSheetId="58">'315'!$M$124:$M$126</definedName>
    <definedName name="OSRRefD21_12x_9" localSheetId="63">'317'!$M$99</definedName>
    <definedName name="OSRRefD21_12x_9" localSheetId="69">'325'!$M$64:$M$68</definedName>
    <definedName name="OSRRefD21_12x_9" localSheetId="59">'326'!$M$88:$M$90</definedName>
    <definedName name="OSRRefD21_12x_9" localSheetId="52">'330'!$M$89</definedName>
    <definedName name="OSRRefD21_12x_9" localSheetId="57">'331'!$M$125</definedName>
    <definedName name="OSRRefD21_12x_9" localSheetId="74">'405'!$M$68</definedName>
    <definedName name="OSRRefD21_12x_9" localSheetId="76">'411'!$M$67:$M$72</definedName>
    <definedName name="OSRRefD21_12x_9" localSheetId="77">'412'!$M$69:$M$70</definedName>
    <definedName name="OSRRefD21_12x_9" localSheetId="79">'414'!$M$66:$M$68</definedName>
    <definedName name="OSRRefD21_12x_9" localSheetId="80">'415'!$M$69:$M$72</definedName>
    <definedName name="OSRRefD21_12x_9" localSheetId="81">'418'!$M$71:$M$72</definedName>
    <definedName name="OSRRefD21_12x_9" localSheetId="89">'433'!$M$69:$M$72</definedName>
    <definedName name="OSRRefD21_12x_9" localSheetId="91">'444'!$M$69:$M$72</definedName>
    <definedName name="OSRRefD21_12x_9" localSheetId="92">'450'!$M$64</definedName>
    <definedName name="OSRRefD21_12x_9" localSheetId="73">'491'!$M$72</definedName>
    <definedName name="OSRRefD21_12x_9" localSheetId="87">'492'!$M$68:$M$70</definedName>
    <definedName name="OSRRefD21_12x_9" localSheetId="39">'Div 2'!$M$63:$M$66</definedName>
    <definedName name="OSRRefD21_12x_9" localSheetId="47">'Div 3'!$M$174</definedName>
    <definedName name="OSRRefD21_12x_9" localSheetId="71">'Div 4'!$M$75</definedName>
    <definedName name="OSRRefD21_12x_9" localSheetId="62">'Div 6'!$M$99</definedName>
    <definedName name="OSRRefD21_12x_9" localSheetId="2">Summary!$M$205</definedName>
    <definedName name="OSRRefD21_13_0x" localSheetId="41">'201'!$D$64:$M$64</definedName>
    <definedName name="OSRRefD21_13_0x" localSheetId="43">'203'!$D$68:$M$68</definedName>
    <definedName name="OSRRefD21_13_0x" localSheetId="48">'300'!$D$172:$M$172</definedName>
    <definedName name="OSRRefD21_13_0x" localSheetId="49">'300 &amp; 317'!$D$196:$M$196</definedName>
    <definedName name="OSRRefD21_13_0x" localSheetId="50">'301'!$D$66:$M$66</definedName>
    <definedName name="OSRRefD21_13_0x" localSheetId="54">'308'!$D$111:$M$111</definedName>
    <definedName name="OSRRefD21_13_0x" localSheetId="64">'310'!$D$74:$M$74</definedName>
    <definedName name="OSRRefD21_13_0x" localSheetId="72">'310 &amp; 491'!$D$81:$M$81</definedName>
    <definedName name="OSRRefD21_13_0x" localSheetId="55">'311'!$D$110:$M$110</definedName>
    <definedName name="OSRRefD21_13_0x" localSheetId="58">'315'!$D$128:$M$128</definedName>
    <definedName name="OSRRefD21_13_0x" localSheetId="63">'317'!$D$101:$M$101</definedName>
    <definedName name="OSRRefD21_13_0x" localSheetId="69">'325'!$D$70:$M$70</definedName>
    <definedName name="OSRRefD21_13_0x" localSheetId="59">'326'!$D$92:$M$92</definedName>
    <definedName name="OSRRefD21_13_0x" localSheetId="57">'331'!$D$127:$M$127</definedName>
    <definedName name="OSRRefD21_13_0x" localSheetId="74">'405'!$D$70:$M$70</definedName>
    <definedName name="OSRRefD21_13_0x" localSheetId="76">'411'!$D$74:$M$74</definedName>
    <definedName name="OSRRefD21_13_0x" localSheetId="77">'412'!$D$72:$M$72</definedName>
    <definedName name="OSRRefD21_13_0x" localSheetId="79">'414'!$D$70:$M$70</definedName>
    <definedName name="OSRRefD21_13_0x" localSheetId="80">'415'!$D$74:$M$74</definedName>
    <definedName name="OSRRefD21_13_0x" localSheetId="81">'418'!$D$74:$M$74</definedName>
    <definedName name="OSRRefD21_13_0x" localSheetId="89">'433'!$D$74:$M$74</definedName>
    <definedName name="OSRRefD21_13_0x" localSheetId="91">'444'!$D$74:$M$74</definedName>
    <definedName name="OSRRefD21_13_0x" localSheetId="92">'450'!$D$66:$M$66</definedName>
    <definedName name="OSRRefD21_13_0x" localSheetId="73">'491'!$D$74:$M$74</definedName>
    <definedName name="OSRRefD21_13_0x" localSheetId="87">'492'!$D$72:$M$72</definedName>
    <definedName name="OSRRefD21_13_0x" localSheetId="39">'Div 2'!$D$68:$M$68</definedName>
    <definedName name="OSRRefD21_13_0x" localSheetId="47">'Div 3'!$D$176:$M$176</definedName>
    <definedName name="OSRRefD21_13_0x" localSheetId="71">'Div 4'!$D$77:$M$77</definedName>
    <definedName name="OSRRefD21_13_0x" localSheetId="62">'Div 6'!$D$101:$M$101</definedName>
    <definedName name="OSRRefD21_13_0x" localSheetId="2">Summary!$D$207:$M$207</definedName>
    <definedName name="OSRRefD21_13_1x" localSheetId="41">'201'!$D$65:$M$65</definedName>
    <definedName name="OSRRefD21_13_1x" localSheetId="48">'300'!$D$173:$M$173</definedName>
    <definedName name="OSRRefD21_13_1x" localSheetId="49">'300 &amp; 317'!$D$197:$M$197</definedName>
    <definedName name="OSRRefD21_13_1x" localSheetId="58">'315'!$D$129:$M$129</definedName>
    <definedName name="OSRRefD21_13_1x" localSheetId="69">'325'!$D$71:$M$71</definedName>
    <definedName name="OSRRefD21_13_1x" localSheetId="59">'326'!$D$93:$M$93</definedName>
    <definedName name="OSRRefD21_13_1x" localSheetId="57">'331'!$D$128:$M$128</definedName>
    <definedName name="OSRRefD21_13_1x" localSheetId="74">'405'!$D$71:$M$71</definedName>
    <definedName name="OSRRefD21_13_1x" localSheetId="89">'433'!$D$75:$M$75</definedName>
    <definedName name="OSRRefD21_13_1x" localSheetId="92">'450'!$D$67:$M$67</definedName>
    <definedName name="OSRRefD21_13_1x" localSheetId="87">'492'!$D$73:$M$73</definedName>
    <definedName name="OSRRefD21_13_1x" localSheetId="39">'Div 2'!$D$69:$M$69</definedName>
    <definedName name="OSRRefD21_13_2x" localSheetId="41">'201'!$D$66:$M$66</definedName>
    <definedName name="OSRRefD21_13_2x" localSheetId="59">'326'!$D$94:$M$94</definedName>
    <definedName name="OSRRefD21_13_2x" localSheetId="57">'331'!$D$129:$M$129</definedName>
    <definedName name="OSRRefD21_13_2x" localSheetId="74">'405'!$D$72:$M$72</definedName>
    <definedName name="OSRRefD21_13_2x" localSheetId="89">'433'!$D$76:$M$76</definedName>
    <definedName name="OSRRefD21_13_2x" localSheetId="92">'450'!$D$68:$M$68</definedName>
    <definedName name="OSRRefD21_13_2x" localSheetId="87">'492'!$D$74:$M$74</definedName>
    <definedName name="OSRRefD21_13_2x" localSheetId="39">'Div 2'!$D$70:$M$70</definedName>
    <definedName name="OSRRefD21_13_3x" localSheetId="74">'405'!$D$73:$M$73</definedName>
    <definedName name="OSRRefD21_13_3x" localSheetId="89">'433'!$D$77:$M$77</definedName>
    <definedName name="OSRRefD21_13_3x" localSheetId="87">'492'!$D$75:$M$75</definedName>
    <definedName name="OSRRefD21_13_3x" localSheetId="39">'Div 2'!$D$71:$M$71</definedName>
    <definedName name="OSRRefD21_13_4x" localSheetId="74">'405'!$D$74:$M$74</definedName>
    <definedName name="OSRRefD21_13_4x" localSheetId="89">'433'!$D$78:$M$78</definedName>
    <definedName name="OSRRefD21_13_5x" localSheetId="74">'405'!$D$75:$M$75</definedName>
    <definedName name="OSRRefD21_13_5x" localSheetId="89">'433'!$D$79:$M$79</definedName>
    <definedName name="OSRRefD21_13_6x" localSheetId="74">'405'!$D$76:$M$76</definedName>
    <definedName name="OSRRefD21_13_6x" localSheetId="89">'433'!$D$80:$M$80</definedName>
    <definedName name="OSRRefD21_13_7x" localSheetId="74">'405'!$D$77:$M$77</definedName>
    <definedName name="OSRRefD21_13x_0" localSheetId="41">'201'!$D$64:$D$66</definedName>
    <definedName name="OSRRefD21_13x_0" localSheetId="43">'203'!$D$68</definedName>
    <definedName name="OSRRefD21_13x_0" localSheetId="48">'300'!$D$172:$D$173</definedName>
    <definedName name="OSRRefD21_13x_0" localSheetId="49">'300 &amp; 317'!$D$196:$D$197</definedName>
    <definedName name="OSRRefD21_13x_0" localSheetId="50">'301'!$D$66</definedName>
    <definedName name="OSRRefD21_13x_0" localSheetId="54">'308'!$D$111</definedName>
    <definedName name="OSRRefD21_13x_0" localSheetId="64">'310'!$D$74</definedName>
    <definedName name="OSRRefD21_13x_0" localSheetId="72">'310 &amp; 491'!$D$81</definedName>
    <definedName name="OSRRefD21_13x_0" localSheetId="55">'311'!$D$110</definedName>
    <definedName name="OSRRefD21_13x_0" localSheetId="58">'315'!$D$128:$D$129</definedName>
    <definedName name="OSRRefD21_13x_0" localSheetId="63">'317'!$D$101</definedName>
    <definedName name="OSRRefD21_13x_0" localSheetId="69">'325'!$D$70:$D$71</definedName>
    <definedName name="OSRRefD21_13x_0" localSheetId="59">'326'!$D$92:$D$94</definedName>
    <definedName name="OSRRefD21_13x_0" localSheetId="57">'331'!$D$127:$D$129</definedName>
    <definedName name="OSRRefD21_13x_0" localSheetId="74">'405'!$D$70:$D$77</definedName>
    <definedName name="OSRRefD21_13x_0" localSheetId="76">'411'!$D$74</definedName>
    <definedName name="OSRRefD21_13x_0" localSheetId="77">'412'!$D$72</definedName>
    <definedName name="OSRRefD21_13x_0" localSheetId="79">'414'!$D$70</definedName>
    <definedName name="OSRRefD21_13x_0" localSheetId="80">'415'!$D$74</definedName>
    <definedName name="OSRRefD21_13x_0" localSheetId="81">'418'!$D$74</definedName>
    <definedName name="OSRRefD21_13x_0" localSheetId="89">'433'!$D$74:$D$80</definedName>
    <definedName name="OSRRefD21_13x_0" localSheetId="91">'444'!$D$74</definedName>
    <definedName name="OSRRefD21_13x_0" localSheetId="92">'450'!$D$66:$D$68</definedName>
    <definedName name="OSRRefD21_13x_0" localSheetId="73">'491'!$D$74</definedName>
    <definedName name="OSRRefD21_13x_0" localSheetId="87">'492'!$D$72:$D$75</definedName>
    <definedName name="OSRRefD21_13x_0" localSheetId="39">'Div 2'!$D$68:$D$71</definedName>
    <definedName name="OSRRefD21_13x_0" localSheetId="47">'Div 3'!$D$176</definedName>
    <definedName name="OSRRefD21_13x_0" localSheetId="71">'Div 4'!$D$77</definedName>
    <definedName name="OSRRefD21_13x_0" localSheetId="62">'Div 6'!$D$101</definedName>
    <definedName name="OSRRefD21_13x_0" localSheetId="2">Summary!$D$207</definedName>
    <definedName name="OSRRefD21_13x_1" localSheetId="41">'201'!$E$64:$E$66</definedName>
    <definedName name="OSRRefD21_13x_1" localSheetId="43">'203'!$E$68</definedName>
    <definedName name="OSRRefD21_13x_1" localSheetId="48">'300'!$E$172:$E$173</definedName>
    <definedName name="OSRRefD21_13x_1" localSheetId="49">'300 &amp; 317'!$E$196:$E$197</definedName>
    <definedName name="OSRRefD21_13x_1" localSheetId="50">'301'!$E$66</definedName>
    <definedName name="OSRRefD21_13x_1" localSheetId="54">'308'!$E$111</definedName>
    <definedName name="OSRRefD21_13x_1" localSheetId="64">'310'!$E$74</definedName>
    <definedName name="OSRRefD21_13x_1" localSheetId="72">'310 &amp; 491'!$E$81</definedName>
    <definedName name="OSRRefD21_13x_1" localSheetId="55">'311'!$E$110</definedName>
    <definedName name="OSRRefD21_13x_1" localSheetId="58">'315'!$E$128:$E$129</definedName>
    <definedName name="OSRRefD21_13x_1" localSheetId="63">'317'!$E$101</definedName>
    <definedName name="OSRRefD21_13x_1" localSheetId="69">'325'!$E$70:$E$71</definedName>
    <definedName name="OSRRefD21_13x_1" localSheetId="59">'326'!$E$92:$E$94</definedName>
    <definedName name="OSRRefD21_13x_1" localSheetId="57">'331'!$E$127:$E$129</definedName>
    <definedName name="OSRRefD21_13x_1" localSheetId="74">'405'!$E$70:$E$77</definedName>
    <definedName name="OSRRefD21_13x_1" localSheetId="76">'411'!$E$74</definedName>
    <definedName name="OSRRefD21_13x_1" localSheetId="77">'412'!$E$72</definedName>
    <definedName name="OSRRefD21_13x_1" localSheetId="79">'414'!$E$70</definedName>
    <definedName name="OSRRefD21_13x_1" localSheetId="80">'415'!$E$74</definedName>
    <definedName name="OSRRefD21_13x_1" localSheetId="81">'418'!$E$74</definedName>
    <definedName name="OSRRefD21_13x_1" localSheetId="89">'433'!$E$74:$E$80</definedName>
    <definedName name="OSRRefD21_13x_1" localSheetId="91">'444'!$E$74</definedName>
    <definedName name="OSRRefD21_13x_1" localSheetId="92">'450'!$E$66:$E$68</definedName>
    <definedName name="OSRRefD21_13x_1" localSheetId="73">'491'!$E$74</definedName>
    <definedName name="OSRRefD21_13x_1" localSheetId="87">'492'!$E$72:$E$75</definedName>
    <definedName name="OSRRefD21_13x_1" localSheetId="39">'Div 2'!$E$68:$E$71</definedName>
    <definedName name="OSRRefD21_13x_1" localSheetId="47">'Div 3'!$E$176</definedName>
    <definedName name="OSRRefD21_13x_1" localSheetId="71">'Div 4'!$E$77</definedName>
    <definedName name="OSRRefD21_13x_1" localSheetId="62">'Div 6'!$E$101</definedName>
    <definedName name="OSRRefD21_13x_1" localSheetId="2">Summary!$E$207</definedName>
    <definedName name="OSRRefD21_13x_2" localSheetId="41">'201'!$F$64:$F$66</definedName>
    <definedName name="OSRRefD21_13x_2" localSheetId="43">'203'!$F$68</definedName>
    <definedName name="OSRRefD21_13x_2" localSheetId="48">'300'!$F$172:$F$173</definedName>
    <definedName name="OSRRefD21_13x_2" localSheetId="49">'300 &amp; 317'!$F$196:$F$197</definedName>
    <definedName name="OSRRefD21_13x_2" localSheetId="50">'301'!$F$66</definedName>
    <definedName name="OSRRefD21_13x_2" localSheetId="54">'308'!$F$111</definedName>
    <definedName name="OSRRefD21_13x_2" localSheetId="64">'310'!$F$74</definedName>
    <definedName name="OSRRefD21_13x_2" localSheetId="72">'310 &amp; 491'!$F$81</definedName>
    <definedName name="OSRRefD21_13x_2" localSheetId="55">'311'!$F$110</definedName>
    <definedName name="OSRRefD21_13x_2" localSheetId="58">'315'!$F$128:$F$129</definedName>
    <definedName name="OSRRefD21_13x_2" localSheetId="63">'317'!$F$101</definedName>
    <definedName name="OSRRefD21_13x_2" localSheetId="69">'325'!$F$70:$F$71</definedName>
    <definedName name="OSRRefD21_13x_2" localSheetId="59">'326'!$F$92:$F$94</definedName>
    <definedName name="OSRRefD21_13x_2" localSheetId="57">'331'!$F$127:$F$129</definedName>
    <definedName name="OSRRefD21_13x_2" localSheetId="74">'405'!$F$70:$F$77</definedName>
    <definedName name="OSRRefD21_13x_2" localSheetId="76">'411'!$F$74</definedName>
    <definedName name="OSRRefD21_13x_2" localSheetId="77">'412'!$F$72</definedName>
    <definedName name="OSRRefD21_13x_2" localSheetId="79">'414'!$F$70</definedName>
    <definedName name="OSRRefD21_13x_2" localSheetId="80">'415'!$F$74</definedName>
    <definedName name="OSRRefD21_13x_2" localSheetId="81">'418'!$F$74</definedName>
    <definedName name="OSRRefD21_13x_2" localSheetId="89">'433'!$F$74:$F$80</definedName>
    <definedName name="OSRRefD21_13x_2" localSheetId="91">'444'!$F$74</definedName>
    <definedName name="OSRRefD21_13x_2" localSheetId="92">'450'!$F$66:$F$68</definedName>
    <definedName name="OSRRefD21_13x_2" localSheetId="73">'491'!$F$74</definedName>
    <definedName name="OSRRefD21_13x_2" localSheetId="87">'492'!$F$72:$F$75</definedName>
    <definedName name="OSRRefD21_13x_2" localSheetId="39">'Div 2'!$F$68:$F$71</definedName>
    <definedName name="OSRRefD21_13x_2" localSheetId="47">'Div 3'!$F$176</definedName>
    <definedName name="OSRRefD21_13x_2" localSheetId="71">'Div 4'!$F$77</definedName>
    <definedName name="OSRRefD21_13x_2" localSheetId="62">'Div 6'!$F$101</definedName>
    <definedName name="OSRRefD21_13x_2" localSheetId="2">Summary!$F$207</definedName>
    <definedName name="OSRRefD21_13x_3" localSheetId="41">'201'!$G$64:$G$66</definedName>
    <definedName name="OSRRefD21_13x_3" localSheetId="43">'203'!$G$68</definedName>
    <definedName name="OSRRefD21_13x_3" localSheetId="48">'300'!$G$172:$G$173</definedName>
    <definedName name="OSRRefD21_13x_3" localSheetId="49">'300 &amp; 317'!$G$196:$G$197</definedName>
    <definedName name="OSRRefD21_13x_3" localSheetId="50">'301'!$G$66</definedName>
    <definedName name="OSRRefD21_13x_3" localSheetId="54">'308'!$G$111</definedName>
    <definedName name="OSRRefD21_13x_3" localSheetId="64">'310'!$G$74</definedName>
    <definedName name="OSRRefD21_13x_3" localSheetId="72">'310 &amp; 491'!$G$81</definedName>
    <definedName name="OSRRefD21_13x_3" localSheetId="55">'311'!$G$110</definedName>
    <definedName name="OSRRefD21_13x_3" localSheetId="58">'315'!$G$128:$G$129</definedName>
    <definedName name="OSRRefD21_13x_3" localSheetId="63">'317'!$G$101</definedName>
    <definedName name="OSRRefD21_13x_3" localSheetId="69">'325'!$G$70:$G$71</definedName>
    <definedName name="OSRRefD21_13x_3" localSheetId="59">'326'!$G$92:$G$94</definedName>
    <definedName name="OSRRefD21_13x_3" localSheetId="57">'331'!$G$127:$G$129</definedName>
    <definedName name="OSRRefD21_13x_3" localSheetId="74">'405'!$G$70:$G$77</definedName>
    <definedName name="OSRRefD21_13x_3" localSheetId="76">'411'!$G$74</definedName>
    <definedName name="OSRRefD21_13x_3" localSheetId="77">'412'!$G$72</definedName>
    <definedName name="OSRRefD21_13x_3" localSheetId="79">'414'!$G$70</definedName>
    <definedName name="OSRRefD21_13x_3" localSheetId="80">'415'!$G$74</definedName>
    <definedName name="OSRRefD21_13x_3" localSheetId="81">'418'!$G$74</definedName>
    <definedName name="OSRRefD21_13x_3" localSheetId="89">'433'!$G$74:$G$80</definedName>
    <definedName name="OSRRefD21_13x_3" localSheetId="91">'444'!$G$74</definedName>
    <definedName name="OSRRefD21_13x_3" localSheetId="92">'450'!$G$66:$G$68</definedName>
    <definedName name="OSRRefD21_13x_3" localSheetId="73">'491'!$G$74</definedName>
    <definedName name="OSRRefD21_13x_3" localSheetId="87">'492'!$G$72:$G$75</definedName>
    <definedName name="OSRRefD21_13x_3" localSheetId="39">'Div 2'!$G$68:$G$71</definedName>
    <definedName name="OSRRefD21_13x_3" localSheetId="47">'Div 3'!$G$176</definedName>
    <definedName name="OSRRefD21_13x_3" localSheetId="71">'Div 4'!$G$77</definedName>
    <definedName name="OSRRefD21_13x_3" localSheetId="62">'Div 6'!$G$101</definedName>
    <definedName name="OSRRefD21_13x_3" localSheetId="2">Summary!$G$207</definedName>
    <definedName name="OSRRefD21_13x_4" localSheetId="41">'201'!$H$64:$H$66</definedName>
    <definedName name="OSRRefD21_13x_4" localSheetId="43">'203'!$H$68</definedName>
    <definedName name="OSRRefD21_13x_4" localSheetId="48">'300'!$H$172:$H$173</definedName>
    <definedName name="OSRRefD21_13x_4" localSheetId="49">'300 &amp; 317'!$H$196:$H$197</definedName>
    <definedName name="OSRRefD21_13x_4" localSheetId="50">'301'!$H$66</definedName>
    <definedName name="OSRRefD21_13x_4" localSheetId="54">'308'!$H$111</definedName>
    <definedName name="OSRRefD21_13x_4" localSheetId="64">'310'!$H$74</definedName>
    <definedName name="OSRRefD21_13x_4" localSheetId="72">'310 &amp; 491'!$H$81</definedName>
    <definedName name="OSRRefD21_13x_4" localSheetId="55">'311'!$H$110</definedName>
    <definedName name="OSRRefD21_13x_4" localSheetId="58">'315'!$H$128:$H$129</definedName>
    <definedName name="OSRRefD21_13x_4" localSheetId="63">'317'!$H$101</definedName>
    <definedName name="OSRRefD21_13x_4" localSheetId="69">'325'!$H$70:$H$71</definedName>
    <definedName name="OSRRefD21_13x_4" localSheetId="59">'326'!$H$92:$H$94</definedName>
    <definedName name="OSRRefD21_13x_4" localSheetId="57">'331'!$H$127:$H$129</definedName>
    <definedName name="OSRRefD21_13x_4" localSheetId="74">'405'!$H$70:$H$77</definedName>
    <definedName name="OSRRefD21_13x_4" localSheetId="76">'411'!$H$74</definedName>
    <definedName name="OSRRefD21_13x_4" localSheetId="77">'412'!$H$72</definedName>
    <definedName name="OSRRefD21_13x_4" localSheetId="79">'414'!$H$70</definedName>
    <definedName name="OSRRefD21_13x_4" localSheetId="80">'415'!$H$74</definedName>
    <definedName name="OSRRefD21_13x_4" localSheetId="81">'418'!$H$74</definedName>
    <definedName name="OSRRefD21_13x_4" localSheetId="89">'433'!$H$74:$H$80</definedName>
    <definedName name="OSRRefD21_13x_4" localSheetId="91">'444'!$H$74</definedName>
    <definedName name="OSRRefD21_13x_4" localSheetId="92">'450'!$H$66:$H$68</definedName>
    <definedName name="OSRRefD21_13x_4" localSheetId="73">'491'!$H$74</definedName>
    <definedName name="OSRRefD21_13x_4" localSheetId="87">'492'!$H$72:$H$75</definedName>
    <definedName name="OSRRefD21_13x_4" localSheetId="39">'Div 2'!$H$68:$H$71</definedName>
    <definedName name="OSRRefD21_13x_4" localSheetId="47">'Div 3'!$H$176</definedName>
    <definedName name="OSRRefD21_13x_4" localSheetId="71">'Div 4'!$H$77</definedName>
    <definedName name="OSRRefD21_13x_4" localSheetId="62">'Div 6'!$H$101</definedName>
    <definedName name="OSRRefD21_13x_4" localSheetId="2">Summary!$H$207</definedName>
    <definedName name="OSRRefD21_13x_5" localSheetId="41">'201'!$I$64:$I$66</definedName>
    <definedName name="OSRRefD21_13x_5" localSheetId="43">'203'!$I$68</definedName>
    <definedName name="OSRRefD21_13x_5" localSheetId="48">'300'!$I$172:$I$173</definedName>
    <definedName name="OSRRefD21_13x_5" localSheetId="49">'300 &amp; 317'!$I$196:$I$197</definedName>
    <definedName name="OSRRefD21_13x_5" localSheetId="50">'301'!$I$66</definedName>
    <definedName name="OSRRefD21_13x_5" localSheetId="54">'308'!$I$111</definedName>
    <definedName name="OSRRefD21_13x_5" localSheetId="64">'310'!$I$74</definedName>
    <definedName name="OSRRefD21_13x_5" localSheetId="72">'310 &amp; 491'!$I$81</definedName>
    <definedName name="OSRRefD21_13x_5" localSheetId="55">'311'!$I$110</definedName>
    <definedName name="OSRRefD21_13x_5" localSheetId="58">'315'!$I$128:$I$129</definedName>
    <definedName name="OSRRefD21_13x_5" localSheetId="63">'317'!$I$101</definedName>
    <definedName name="OSRRefD21_13x_5" localSheetId="69">'325'!$I$70:$I$71</definedName>
    <definedName name="OSRRefD21_13x_5" localSheetId="59">'326'!$I$92:$I$94</definedName>
    <definedName name="OSRRefD21_13x_5" localSheetId="57">'331'!$I$127:$I$129</definedName>
    <definedName name="OSRRefD21_13x_5" localSheetId="74">'405'!$I$70:$I$77</definedName>
    <definedName name="OSRRefD21_13x_5" localSheetId="76">'411'!$I$74</definedName>
    <definedName name="OSRRefD21_13x_5" localSheetId="77">'412'!$I$72</definedName>
    <definedName name="OSRRefD21_13x_5" localSheetId="79">'414'!$I$70</definedName>
    <definedName name="OSRRefD21_13x_5" localSheetId="80">'415'!$I$74</definedName>
    <definedName name="OSRRefD21_13x_5" localSheetId="81">'418'!$I$74</definedName>
    <definedName name="OSRRefD21_13x_5" localSheetId="89">'433'!$I$74:$I$80</definedName>
    <definedName name="OSRRefD21_13x_5" localSheetId="91">'444'!$I$74</definedName>
    <definedName name="OSRRefD21_13x_5" localSheetId="92">'450'!$I$66:$I$68</definedName>
    <definedName name="OSRRefD21_13x_5" localSheetId="73">'491'!$I$74</definedName>
    <definedName name="OSRRefD21_13x_5" localSheetId="87">'492'!$I$72:$I$75</definedName>
    <definedName name="OSRRefD21_13x_5" localSheetId="39">'Div 2'!$I$68:$I$71</definedName>
    <definedName name="OSRRefD21_13x_5" localSheetId="47">'Div 3'!$I$176</definedName>
    <definedName name="OSRRefD21_13x_5" localSheetId="71">'Div 4'!$I$77</definedName>
    <definedName name="OSRRefD21_13x_5" localSheetId="62">'Div 6'!$I$101</definedName>
    <definedName name="OSRRefD21_13x_5" localSheetId="2">Summary!$I$207</definedName>
    <definedName name="OSRRefD21_13x_6" localSheetId="41">'201'!$J$64:$J$66</definedName>
    <definedName name="OSRRefD21_13x_6" localSheetId="43">'203'!$J$68</definedName>
    <definedName name="OSRRefD21_13x_6" localSheetId="48">'300'!$J$172:$J$173</definedName>
    <definedName name="OSRRefD21_13x_6" localSheetId="49">'300 &amp; 317'!$J$196:$J$197</definedName>
    <definedName name="OSRRefD21_13x_6" localSheetId="50">'301'!$J$66</definedName>
    <definedName name="OSRRefD21_13x_6" localSheetId="54">'308'!$J$111</definedName>
    <definedName name="OSRRefD21_13x_6" localSheetId="64">'310'!$J$74</definedName>
    <definedName name="OSRRefD21_13x_6" localSheetId="72">'310 &amp; 491'!$J$81</definedName>
    <definedName name="OSRRefD21_13x_6" localSheetId="55">'311'!$J$110</definedName>
    <definedName name="OSRRefD21_13x_6" localSheetId="58">'315'!$J$128:$J$129</definedName>
    <definedName name="OSRRefD21_13x_6" localSheetId="63">'317'!$J$101</definedName>
    <definedName name="OSRRefD21_13x_6" localSheetId="69">'325'!$J$70:$J$71</definedName>
    <definedName name="OSRRefD21_13x_6" localSheetId="59">'326'!$J$92:$J$94</definedName>
    <definedName name="OSRRefD21_13x_6" localSheetId="57">'331'!$J$127:$J$129</definedName>
    <definedName name="OSRRefD21_13x_6" localSheetId="74">'405'!$J$70:$J$77</definedName>
    <definedName name="OSRRefD21_13x_6" localSheetId="76">'411'!$J$74</definedName>
    <definedName name="OSRRefD21_13x_6" localSheetId="77">'412'!$J$72</definedName>
    <definedName name="OSRRefD21_13x_6" localSheetId="79">'414'!$J$70</definedName>
    <definedName name="OSRRefD21_13x_6" localSheetId="80">'415'!$J$74</definedName>
    <definedName name="OSRRefD21_13x_6" localSheetId="81">'418'!$J$74</definedName>
    <definedName name="OSRRefD21_13x_6" localSheetId="89">'433'!$J$74:$J$80</definedName>
    <definedName name="OSRRefD21_13x_6" localSheetId="91">'444'!$J$74</definedName>
    <definedName name="OSRRefD21_13x_6" localSheetId="92">'450'!$J$66:$J$68</definedName>
    <definedName name="OSRRefD21_13x_6" localSheetId="73">'491'!$J$74</definedName>
    <definedName name="OSRRefD21_13x_6" localSheetId="87">'492'!$J$72:$J$75</definedName>
    <definedName name="OSRRefD21_13x_6" localSheetId="39">'Div 2'!$J$68:$J$71</definedName>
    <definedName name="OSRRefD21_13x_6" localSheetId="47">'Div 3'!$J$176</definedName>
    <definedName name="OSRRefD21_13x_6" localSheetId="71">'Div 4'!$J$77</definedName>
    <definedName name="OSRRefD21_13x_6" localSheetId="62">'Div 6'!$J$101</definedName>
    <definedName name="OSRRefD21_13x_6" localSheetId="2">Summary!$J$207</definedName>
    <definedName name="OSRRefD21_13x_7" localSheetId="41">'201'!$K$64:$K$66</definedName>
    <definedName name="OSRRefD21_13x_7" localSheetId="43">'203'!$K$68</definedName>
    <definedName name="OSRRefD21_13x_7" localSheetId="48">'300'!$K$172:$K$173</definedName>
    <definedName name="OSRRefD21_13x_7" localSheetId="49">'300 &amp; 317'!$K$196:$K$197</definedName>
    <definedName name="OSRRefD21_13x_7" localSheetId="50">'301'!$K$66</definedName>
    <definedName name="OSRRefD21_13x_7" localSheetId="54">'308'!$K$111</definedName>
    <definedName name="OSRRefD21_13x_7" localSheetId="64">'310'!$K$74</definedName>
    <definedName name="OSRRefD21_13x_7" localSheetId="72">'310 &amp; 491'!$K$81</definedName>
    <definedName name="OSRRefD21_13x_7" localSheetId="55">'311'!$K$110</definedName>
    <definedName name="OSRRefD21_13x_7" localSheetId="58">'315'!$K$128:$K$129</definedName>
    <definedName name="OSRRefD21_13x_7" localSheetId="63">'317'!$K$101</definedName>
    <definedName name="OSRRefD21_13x_7" localSheetId="69">'325'!$K$70:$K$71</definedName>
    <definedName name="OSRRefD21_13x_7" localSheetId="59">'326'!$K$92:$K$94</definedName>
    <definedName name="OSRRefD21_13x_7" localSheetId="57">'331'!$K$127:$K$129</definedName>
    <definedName name="OSRRefD21_13x_7" localSheetId="74">'405'!$K$70:$K$77</definedName>
    <definedName name="OSRRefD21_13x_7" localSheetId="76">'411'!$K$74</definedName>
    <definedName name="OSRRefD21_13x_7" localSheetId="77">'412'!$K$72</definedName>
    <definedName name="OSRRefD21_13x_7" localSheetId="79">'414'!$K$70</definedName>
    <definedName name="OSRRefD21_13x_7" localSheetId="80">'415'!$K$74</definedName>
    <definedName name="OSRRefD21_13x_7" localSheetId="81">'418'!$K$74</definedName>
    <definedName name="OSRRefD21_13x_7" localSheetId="89">'433'!$K$74:$K$80</definedName>
    <definedName name="OSRRefD21_13x_7" localSheetId="91">'444'!$K$74</definedName>
    <definedName name="OSRRefD21_13x_7" localSheetId="92">'450'!$K$66:$K$68</definedName>
    <definedName name="OSRRefD21_13x_7" localSheetId="73">'491'!$K$74</definedName>
    <definedName name="OSRRefD21_13x_7" localSheetId="87">'492'!$K$72:$K$75</definedName>
    <definedName name="OSRRefD21_13x_7" localSheetId="39">'Div 2'!$K$68:$K$71</definedName>
    <definedName name="OSRRefD21_13x_7" localSheetId="47">'Div 3'!$K$176</definedName>
    <definedName name="OSRRefD21_13x_7" localSheetId="71">'Div 4'!$K$77</definedName>
    <definedName name="OSRRefD21_13x_7" localSheetId="62">'Div 6'!$K$101</definedName>
    <definedName name="OSRRefD21_13x_7" localSheetId="2">Summary!$K$207</definedName>
    <definedName name="OSRRefD21_13x_8" localSheetId="41">'201'!$L$64:$L$66</definedName>
    <definedName name="OSRRefD21_13x_8" localSheetId="43">'203'!$L$68</definedName>
    <definedName name="OSRRefD21_13x_8" localSheetId="48">'300'!$L$172:$L$173</definedName>
    <definedName name="OSRRefD21_13x_8" localSheetId="49">'300 &amp; 317'!$L$196:$L$197</definedName>
    <definedName name="OSRRefD21_13x_8" localSheetId="50">'301'!$L$66</definedName>
    <definedName name="OSRRefD21_13x_8" localSheetId="54">'308'!$L$111</definedName>
    <definedName name="OSRRefD21_13x_8" localSheetId="64">'310'!$L$74</definedName>
    <definedName name="OSRRefD21_13x_8" localSheetId="72">'310 &amp; 491'!$L$81</definedName>
    <definedName name="OSRRefD21_13x_8" localSheetId="55">'311'!$L$110</definedName>
    <definedName name="OSRRefD21_13x_8" localSheetId="58">'315'!$L$128:$L$129</definedName>
    <definedName name="OSRRefD21_13x_8" localSheetId="63">'317'!$L$101</definedName>
    <definedName name="OSRRefD21_13x_8" localSheetId="69">'325'!$L$70:$L$71</definedName>
    <definedName name="OSRRefD21_13x_8" localSheetId="59">'326'!$L$92:$L$94</definedName>
    <definedName name="OSRRefD21_13x_8" localSheetId="57">'331'!$L$127:$L$129</definedName>
    <definedName name="OSRRefD21_13x_8" localSheetId="74">'405'!$L$70:$L$77</definedName>
    <definedName name="OSRRefD21_13x_8" localSheetId="76">'411'!$L$74</definedName>
    <definedName name="OSRRefD21_13x_8" localSheetId="77">'412'!$L$72</definedName>
    <definedName name="OSRRefD21_13x_8" localSheetId="79">'414'!$L$70</definedName>
    <definedName name="OSRRefD21_13x_8" localSheetId="80">'415'!$L$74</definedName>
    <definedName name="OSRRefD21_13x_8" localSheetId="81">'418'!$L$74</definedName>
    <definedName name="OSRRefD21_13x_8" localSheetId="89">'433'!$L$74:$L$80</definedName>
    <definedName name="OSRRefD21_13x_8" localSheetId="91">'444'!$L$74</definedName>
    <definedName name="OSRRefD21_13x_8" localSheetId="92">'450'!$L$66:$L$68</definedName>
    <definedName name="OSRRefD21_13x_8" localSheetId="73">'491'!$L$74</definedName>
    <definedName name="OSRRefD21_13x_8" localSheetId="87">'492'!$L$72:$L$75</definedName>
    <definedName name="OSRRefD21_13x_8" localSheetId="39">'Div 2'!$L$68:$L$71</definedName>
    <definedName name="OSRRefD21_13x_8" localSheetId="47">'Div 3'!$L$176</definedName>
    <definedName name="OSRRefD21_13x_8" localSheetId="71">'Div 4'!$L$77</definedName>
    <definedName name="OSRRefD21_13x_8" localSheetId="62">'Div 6'!$L$101</definedName>
    <definedName name="OSRRefD21_13x_8" localSheetId="2">Summary!$L$207</definedName>
    <definedName name="OSRRefD21_13x_9" localSheetId="41">'201'!$M$64:$M$66</definedName>
    <definedName name="OSRRefD21_13x_9" localSheetId="43">'203'!$M$68</definedName>
    <definedName name="OSRRefD21_13x_9" localSheetId="48">'300'!$M$172:$M$173</definedName>
    <definedName name="OSRRefD21_13x_9" localSheetId="49">'300 &amp; 317'!$M$196:$M$197</definedName>
    <definedName name="OSRRefD21_13x_9" localSheetId="50">'301'!$M$66</definedName>
    <definedName name="OSRRefD21_13x_9" localSheetId="54">'308'!$M$111</definedName>
    <definedName name="OSRRefD21_13x_9" localSheetId="64">'310'!$M$74</definedName>
    <definedName name="OSRRefD21_13x_9" localSheetId="72">'310 &amp; 491'!$M$81</definedName>
    <definedName name="OSRRefD21_13x_9" localSheetId="55">'311'!$M$110</definedName>
    <definedName name="OSRRefD21_13x_9" localSheetId="58">'315'!$M$128:$M$129</definedName>
    <definedName name="OSRRefD21_13x_9" localSheetId="63">'317'!$M$101</definedName>
    <definedName name="OSRRefD21_13x_9" localSheetId="69">'325'!$M$70:$M$71</definedName>
    <definedName name="OSRRefD21_13x_9" localSheetId="59">'326'!$M$92:$M$94</definedName>
    <definedName name="OSRRefD21_13x_9" localSheetId="57">'331'!$M$127:$M$129</definedName>
    <definedName name="OSRRefD21_13x_9" localSheetId="74">'405'!$M$70:$M$77</definedName>
    <definedName name="OSRRefD21_13x_9" localSheetId="76">'411'!$M$74</definedName>
    <definedName name="OSRRefD21_13x_9" localSheetId="77">'412'!$M$72</definedName>
    <definedName name="OSRRefD21_13x_9" localSheetId="79">'414'!$M$70</definedName>
    <definedName name="OSRRefD21_13x_9" localSheetId="80">'415'!$M$74</definedName>
    <definedName name="OSRRefD21_13x_9" localSheetId="81">'418'!$M$74</definedName>
    <definedName name="OSRRefD21_13x_9" localSheetId="89">'433'!$M$74:$M$80</definedName>
    <definedName name="OSRRefD21_13x_9" localSheetId="91">'444'!$M$74</definedName>
    <definedName name="OSRRefD21_13x_9" localSheetId="92">'450'!$M$66:$M$68</definedName>
    <definedName name="OSRRefD21_13x_9" localSheetId="73">'491'!$M$74</definedName>
    <definedName name="OSRRefD21_13x_9" localSheetId="87">'492'!$M$72:$M$75</definedName>
    <definedName name="OSRRefD21_13x_9" localSheetId="39">'Div 2'!$M$68:$M$71</definedName>
    <definedName name="OSRRefD21_13x_9" localSheetId="47">'Div 3'!$M$176</definedName>
    <definedName name="OSRRefD21_13x_9" localSheetId="71">'Div 4'!$M$77</definedName>
    <definedName name="OSRRefD21_13x_9" localSheetId="62">'Div 6'!$M$101</definedName>
    <definedName name="OSRRefD21_13x_9" localSheetId="2">Summary!$M$207</definedName>
    <definedName name="OSRRefD21_14_0x" localSheetId="41">'201'!$D$68:$M$68</definedName>
    <definedName name="OSRRefD21_14_0x" localSheetId="43">'203'!$D$70:$M$70</definedName>
    <definedName name="OSRRefD21_14_0x" localSheetId="48">'300'!$D$175:$M$175</definedName>
    <definedName name="OSRRefD21_14_0x" localSheetId="49">'300 &amp; 317'!$D$199:$M$199</definedName>
    <definedName name="OSRRefD21_14_0x" localSheetId="50">'301'!$D$68:$M$68</definedName>
    <definedName name="OSRRefD21_14_0x" localSheetId="64">'310'!$D$76:$M$76</definedName>
    <definedName name="OSRRefD21_14_0x" localSheetId="72">'310 &amp; 491'!$D$83:$M$83</definedName>
    <definedName name="OSRRefD21_14_0x" localSheetId="58">'315'!$D$131:$M$131</definedName>
    <definedName name="OSRRefD21_14_0x" localSheetId="69">'325'!$D$73:$M$73</definedName>
    <definedName name="OSRRefD21_14_0x" localSheetId="59">'326'!$D$96:$M$96</definedName>
    <definedName name="OSRRefD21_14_0x" localSheetId="57">'331'!$D$131:$M$131</definedName>
    <definedName name="OSRRefD21_14_0x" localSheetId="74">'405'!$D$79:$M$79</definedName>
    <definedName name="OSRRefD21_14_0x" localSheetId="76">'411'!$D$76:$M$76</definedName>
    <definedName name="OSRRefD21_14_0x" localSheetId="80">'415'!$D$76:$M$76</definedName>
    <definedName name="OSRRefD21_14_0x" localSheetId="89">'433'!$D$82:$M$82</definedName>
    <definedName name="OSRRefD21_14_0x" localSheetId="91">'444'!$D$76:$M$76</definedName>
    <definedName name="OSRRefD21_14_0x" localSheetId="92">'450'!$D$70:$M$70</definedName>
    <definedName name="OSRRefD21_14_0x" localSheetId="73">'491'!$D$76:$M$76</definedName>
    <definedName name="OSRRefD21_14_0x" localSheetId="87">'492'!$D$77:$M$77</definedName>
    <definedName name="OSRRefD21_14_0x" localSheetId="39">'Div 2'!$D$73:$M$73</definedName>
    <definedName name="OSRRefD21_14_0x" localSheetId="47">'Div 3'!$D$178:$M$178</definedName>
    <definedName name="OSRRefD21_14_0x" localSheetId="71">'Div 4'!$D$79:$M$79</definedName>
    <definedName name="OSRRefD21_14_0x" localSheetId="2">Summary!$D$209:$M$209</definedName>
    <definedName name="OSRRefD21_14_1x" localSheetId="64">'310'!$D$77:$M$77</definedName>
    <definedName name="OSRRefD21_14_1x" localSheetId="72">'310 &amp; 491'!$D$84:$M$84</definedName>
    <definedName name="OSRRefD21_14_1x" localSheetId="58">'315'!$D$132:$M$132</definedName>
    <definedName name="OSRRefD21_14_1x" localSheetId="59">'326'!$D$97:$M$97</definedName>
    <definedName name="OSRRefD21_14_1x" localSheetId="57">'331'!$D$132:$M$132</definedName>
    <definedName name="OSRRefD21_14_1x" localSheetId="80">'415'!$D$77:$M$77</definedName>
    <definedName name="OSRRefD21_14_1x" localSheetId="91">'444'!$D$77:$M$77</definedName>
    <definedName name="OSRRefD21_14_1x" localSheetId="92">'450'!$D$71:$M$71</definedName>
    <definedName name="OSRRefD21_14_1x" localSheetId="73">'491'!$D$77:$M$77</definedName>
    <definedName name="OSRRefD21_14_1x" localSheetId="39">'Div 2'!$D$74:$M$74</definedName>
    <definedName name="OSRRefD21_14_1x" localSheetId="47">'Div 3'!$D$179:$M$179</definedName>
    <definedName name="OSRRefD21_14_1x" localSheetId="2">Summary!$D$210:$M$210</definedName>
    <definedName name="OSRRefD21_14_2x" localSheetId="64">'310'!$D$78:$M$78</definedName>
    <definedName name="OSRRefD21_14_2x" localSheetId="72">'310 &amp; 491'!$D$85:$M$85</definedName>
    <definedName name="OSRRefD21_14_2x" localSheetId="58">'315'!$D$133:$M$133</definedName>
    <definedName name="OSRRefD21_14_2x" localSheetId="57">'331'!$D$133:$M$133</definedName>
    <definedName name="OSRRefD21_14_2x" localSheetId="80">'415'!$D$78:$M$78</definedName>
    <definedName name="OSRRefD21_14_2x" localSheetId="91">'444'!$D$78:$M$78</definedName>
    <definedName name="OSRRefD21_14_2x" localSheetId="92">'450'!$D$72:$M$72</definedName>
    <definedName name="OSRRefD21_14_2x" localSheetId="73">'491'!$D$78:$M$78</definedName>
    <definedName name="OSRRefD21_14_3x" localSheetId="72">'310 &amp; 491'!$D$86:$M$86</definedName>
    <definedName name="OSRRefD21_14_3x" localSheetId="58">'315'!$D$134:$M$134</definedName>
    <definedName name="OSRRefD21_14_3x" localSheetId="80">'415'!$D$79:$M$79</definedName>
    <definedName name="OSRRefD21_14_3x" localSheetId="91">'444'!$D$79:$M$79</definedName>
    <definedName name="OSRRefD21_14_3x" localSheetId="92">'450'!$D$73:$M$73</definedName>
    <definedName name="OSRRefD21_14_3x" localSheetId="73">'491'!$D$79:$M$79</definedName>
    <definedName name="OSRRefD21_14_4x" localSheetId="58">'315'!$D$135:$M$135</definedName>
    <definedName name="OSRRefD21_14_4x" localSheetId="80">'415'!$D$80:$M$80</definedName>
    <definedName name="OSRRefD21_14_4x" localSheetId="91">'444'!$D$80:$M$80</definedName>
    <definedName name="OSRRefD21_14_4x" localSheetId="92">'450'!$D$74:$M$74</definedName>
    <definedName name="OSRRefD21_14_5x" localSheetId="58">'315'!$D$136:$M$136</definedName>
    <definedName name="OSRRefD21_14_5x" localSheetId="80">'415'!$D$81:$M$81</definedName>
    <definedName name="OSRRefD21_14_5x" localSheetId="91">'444'!$D$81:$M$81</definedName>
    <definedName name="OSRRefD21_14_6x" localSheetId="58">'315'!$D$137:$M$137</definedName>
    <definedName name="OSRRefD21_14_6x" localSheetId="91">'444'!$D$82:$M$82</definedName>
    <definedName name="OSRRefD21_14_7x" localSheetId="91">'444'!$D$83:$M$83</definedName>
    <definedName name="OSRRefD21_14x_0" localSheetId="41">'201'!$D$68</definedName>
    <definedName name="OSRRefD21_14x_0" localSheetId="43">'203'!$D$70</definedName>
    <definedName name="OSRRefD21_14x_0" localSheetId="48">'300'!$D$175</definedName>
    <definedName name="OSRRefD21_14x_0" localSheetId="49">'300 &amp; 317'!$D$199</definedName>
    <definedName name="OSRRefD21_14x_0" localSheetId="50">'301'!$D$68</definedName>
    <definedName name="OSRRefD21_14x_0" localSheetId="64">'310'!$D$76:$D$78</definedName>
    <definedName name="OSRRefD21_14x_0" localSheetId="72">'310 &amp; 491'!$D$83:$D$86</definedName>
    <definedName name="OSRRefD21_14x_0" localSheetId="58">'315'!$D$131:$D$137</definedName>
    <definedName name="OSRRefD21_14x_0" localSheetId="69">'325'!$D$73</definedName>
    <definedName name="OSRRefD21_14x_0" localSheetId="59">'326'!$D$96:$D$97</definedName>
    <definedName name="OSRRefD21_14x_0" localSheetId="57">'331'!$D$131:$D$133</definedName>
    <definedName name="OSRRefD21_14x_0" localSheetId="74">'405'!$D$79</definedName>
    <definedName name="OSRRefD21_14x_0" localSheetId="76">'411'!$D$76</definedName>
    <definedName name="OSRRefD21_14x_0" localSheetId="80">'415'!$D$76:$D$81</definedName>
    <definedName name="OSRRefD21_14x_0" localSheetId="89">'433'!$D$82</definedName>
    <definedName name="OSRRefD21_14x_0" localSheetId="91">'444'!$D$76:$D$83</definedName>
    <definedName name="OSRRefD21_14x_0" localSheetId="92">'450'!$D$70:$D$74</definedName>
    <definedName name="OSRRefD21_14x_0" localSheetId="73">'491'!$D$76:$D$79</definedName>
    <definedName name="OSRRefD21_14x_0" localSheetId="87">'492'!$D$77</definedName>
    <definedName name="OSRRefD21_14x_0" localSheetId="39">'Div 2'!$D$73:$D$74</definedName>
    <definedName name="OSRRefD21_14x_0" localSheetId="47">'Div 3'!$D$178:$D$179</definedName>
    <definedName name="OSRRefD21_14x_0" localSheetId="71">'Div 4'!$D$79</definedName>
    <definedName name="OSRRefD21_14x_0" localSheetId="2">Summary!$D$209:$D$210</definedName>
    <definedName name="OSRRefD21_14x_1" localSheetId="41">'201'!$E$68</definedName>
    <definedName name="OSRRefD21_14x_1" localSheetId="43">'203'!$E$70</definedName>
    <definedName name="OSRRefD21_14x_1" localSheetId="48">'300'!$E$175</definedName>
    <definedName name="OSRRefD21_14x_1" localSheetId="49">'300 &amp; 317'!$E$199</definedName>
    <definedName name="OSRRefD21_14x_1" localSheetId="50">'301'!$E$68</definedName>
    <definedName name="OSRRefD21_14x_1" localSheetId="64">'310'!$E$76:$E$78</definedName>
    <definedName name="OSRRefD21_14x_1" localSheetId="72">'310 &amp; 491'!$E$83:$E$86</definedName>
    <definedName name="OSRRefD21_14x_1" localSheetId="58">'315'!$E$131:$E$137</definedName>
    <definedName name="OSRRefD21_14x_1" localSheetId="69">'325'!$E$73</definedName>
    <definedName name="OSRRefD21_14x_1" localSheetId="59">'326'!$E$96:$E$97</definedName>
    <definedName name="OSRRefD21_14x_1" localSheetId="57">'331'!$E$131:$E$133</definedName>
    <definedName name="OSRRefD21_14x_1" localSheetId="74">'405'!$E$79</definedName>
    <definedName name="OSRRefD21_14x_1" localSheetId="76">'411'!$E$76</definedName>
    <definedName name="OSRRefD21_14x_1" localSheetId="80">'415'!$E$76:$E$81</definedName>
    <definedName name="OSRRefD21_14x_1" localSheetId="89">'433'!$E$82</definedName>
    <definedName name="OSRRefD21_14x_1" localSheetId="91">'444'!$E$76:$E$83</definedName>
    <definedName name="OSRRefD21_14x_1" localSheetId="92">'450'!$E$70:$E$74</definedName>
    <definedName name="OSRRefD21_14x_1" localSheetId="73">'491'!$E$76:$E$79</definedName>
    <definedName name="OSRRefD21_14x_1" localSheetId="87">'492'!$E$77</definedName>
    <definedName name="OSRRefD21_14x_1" localSheetId="39">'Div 2'!$E$73:$E$74</definedName>
    <definedName name="OSRRefD21_14x_1" localSheetId="47">'Div 3'!$E$178:$E$179</definedName>
    <definedName name="OSRRefD21_14x_1" localSheetId="71">'Div 4'!$E$79</definedName>
    <definedName name="OSRRefD21_14x_1" localSheetId="2">Summary!$E$209:$E$210</definedName>
    <definedName name="OSRRefD21_14x_2" localSheetId="41">'201'!$F$68</definedName>
    <definedName name="OSRRefD21_14x_2" localSheetId="43">'203'!$F$70</definedName>
    <definedName name="OSRRefD21_14x_2" localSheetId="48">'300'!$F$175</definedName>
    <definedName name="OSRRefD21_14x_2" localSheetId="49">'300 &amp; 317'!$F$199</definedName>
    <definedName name="OSRRefD21_14x_2" localSheetId="50">'301'!$F$68</definedName>
    <definedName name="OSRRefD21_14x_2" localSheetId="64">'310'!$F$76:$F$78</definedName>
    <definedName name="OSRRefD21_14x_2" localSheetId="72">'310 &amp; 491'!$F$83:$F$86</definedName>
    <definedName name="OSRRefD21_14x_2" localSheetId="58">'315'!$F$131:$F$137</definedName>
    <definedName name="OSRRefD21_14x_2" localSheetId="69">'325'!$F$73</definedName>
    <definedName name="OSRRefD21_14x_2" localSheetId="59">'326'!$F$96:$F$97</definedName>
    <definedName name="OSRRefD21_14x_2" localSheetId="57">'331'!$F$131:$F$133</definedName>
    <definedName name="OSRRefD21_14x_2" localSheetId="74">'405'!$F$79</definedName>
    <definedName name="OSRRefD21_14x_2" localSheetId="76">'411'!$F$76</definedName>
    <definedName name="OSRRefD21_14x_2" localSheetId="80">'415'!$F$76:$F$81</definedName>
    <definedName name="OSRRefD21_14x_2" localSheetId="89">'433'!$F$82</definedName>
    <definedName name="OSRRefD21_14x_2" localSheetId="91">'444'!$F$76:$F$83</definedName>
    <definedName name="OSRRefD21_14x_2" localSheetId="92">'450'!$F$70:$F$74</definedName>
    <definedName name="OSRRefD21_14x_2" localSheetId="73">'491'!$F$76:$F$79</definedName>
    <definedName name="OSRRefD21_14x_2" localSheetId="87">'492'!$F$77</definedName>
    <definedName name="OSRRefD21_14x_2" localSheetId="39">'Div 2'!$F$73:$F$74</definedName>
    <definedName name="OSRRefD21_14x_2" localSheetId="47">'Div 3'!$F$178:$F$179</definedName>
    <definedName name="OSRRefD21_14x_2" localSheetId="71">'Div 4'!$F$79</definedName>
    <definedName name="OSRRefD21_14x_2" localSheetId="2">Summary!$F$209:$F$210</definedName>
    <definedName name="OSRRefD21_14x_3" localSheetId="41">'201'!$G$68</definedName>
    <definedName name="OSRRefD21_14x_3" localSheetId="43">'203'!$G$70</definedName>
    <definedName name="OSRRefD21_14x_3" localSheetId="48">'300'!$G$175</definedName>
    <definedName name="OSRRefD21_14x_3" localSheetId="49">'300 &amp; 317'!$G$199</definedName>
    <definedName name="OSRRefD21_14x_3" localSheetId="50">'301'!$G$68</definedName>
    <definedName name="OSRRefD21_14x_3" localSheetId="64">'310'!$G$76:$G$78</definedName>
    <definedName name="OSRRefD21_14x_3" localSheetId="72">'310 &amp; 491'!$G$83:$G$86</definedName>
    <definedName name="OSRRefD21_14x_3" localSheetId="58">'315'!$G$131:$G$137</definedName>
    <definedName name="OSRRefD21_14x_3" localSheetId="69">'325'!$G$73</definedName>
    <definedName name="OSRRefD21_14x_3" localSheetId="59">'326'!$G$96:$G$97</definedName>
    <definedName name="OSRRefD21_14x_3" localSheetId="57">'331'!$G$131:$G$133</definedName>
    <definedName name="OSRRefD21_14x_3" localSheetId="74">'405'!$G$79</definedName>
    <definedName name="OSRRefD21_14x_3" localSheetId="76">'411'!$G$76</definedName>
    <definedName name="OSRRefD21_14x_3" localSheetId="80">'415'!$G$76:$G$81</definedName>
    <definedName name="OSRRefD21_14x_3" localSheetId="89">'433'!$G$82</definedName>
    <definedName name="OSRRefD21_14x_3" localSheetId="91">'444'!$G$76:$G$83</definedName>
    <definedName name="OSRRefD21_14x_3" localSheetId="92">'450'!$G$70:$G$74</definedName>
    <definedName name="OSRRefD21_14x_3" localSheetId="73">'491'!$G$76:$G$79</definedName>
    <definedName name="OSRRefD21_14x_3" localSheetId="87">'492'!$G$77</definedName>
    <definedName name="OSRRefD21_14x_3" localSheetId="39">'Div 2'!$G$73:$G$74</definedName>
    <definedName name="OSRRefD21_14x_3" localSheetId="47">'Div 3'!$G$178:$G$179</definedName>
    <definedName name="OSRRefD21_14x_3" localSheetId="71">'Div 4'!$G$79</definedName>
    <definedName name="OSRRefD21_14x_3" localSheetId="2">Summary!$G$209:$G$210</definedName>
    <definedName name="OSRRefD21_14x_4" localSheetId="41">'201'!$H$68</definedName>
    <definedName name="OSRRefD21_14x_4" localSheetId="43">'203'!$H$70</definedName>
    <definedName name="OSRRefD21_14x_4" localSheetId="48">'300'!$H$175</definedName>
    <definedName name="OSRRefD21_14x_4" localSheetId="49">'300 &amp; 317'!$H$199</definedName>
    <definedName name="OSRRefD21_14x_4" localSheetId="50">'301'!$H$68</definedName>
    <definedName name="OSRRefD21_14x_4" localSheetId="64">'310'!$H$76:$H$78</definedName>
    <definedName name="OSRRefD21_14x_4" localSheetId="72">'310 &amp; 491'!$H$83:$H$86</definedName>
    <definedName name="OSRRefD21_14x_4" localSheetId="58">'315'!$H$131:$H$137</definedName>
    <definedName name="OSRRefD21_14x_4" localSheetId="69">'325'!$H$73</definedName>
    <definedName name="OSRRefD21_14x_4" localSheetId="59">'326'!$H$96:$H$97</definedName>
    <definedName name="OSRRefD21_14x_4" localSheetId="57">'331'!$H$131:$H$133</definedName>
    <definedName name="OSRRefD21_14x_4" localSheetId="74">'405'!$H$79</definedName>
    <definedName name="OSRRefD21_14x_4" localSheetId="76">'411'!$H$76</definedName>
    <definedName name="OSRRefD21_14x_4" localSheetId="80">'415'!$H$76:$H$81</definedName>
    <definedName name="OSRRefD21_14x_4" localSheetId="89">'433'!$H$82</definedName>
    <definedName name="OSRRefD21_14x_4" localSheetId="91">'444'!$H$76:$H$83</definedName>
    <definedName name="OSRRefD21_14x_4" localSheetId="92">'450'!$H$70:$H$74</definedName>
    <definedName name="OSRRefD21_14x_4" localSheetId="73">'491'!$H$76:$H$79</definedName>
    <definedName name="OSRRefD21_14x_4" localSheetId="87">'492'!$H$77</definedName>
    <definedName name="OSRRefD21_14x_4" localSheetId="39">'Div 2'!$H$73:$H$74</definedName>
    <definedName name="OSRRefD21_14x_4" localSheetId="47">'Div 3'!$H$178:$H$179</definedName>
    <definedName name="OSRRefD21_14x_4" localSheetId="71">'Div 4'!$H$79</definedName>
    <definedName name="OSRRefD21_14x_4" localSheetId="2">Summary!$H$209:$H$210</definedName>
    <definedName name="OSRRefD21_14x_5" localSheetId="41">'201'!$I$68</definedName>
    <definedName name="OSRRefD21_14x_5" localSheetId="43">'203'!$I$70</definedName>
    <definedName name="OSRRefD21_14x_5" localSheetId="48">'300'!$I$175</definedName>
    <definedName name="OSRRefD21_14x_5" localSheetId="49">'300 &amp; 317'!$I$199</definedName>
    <definedName name="OSRRefD21_14x_5" localSheetId="50">'301'!$I$68</definedName>
    <definedName name="OSRRefD21_14x_5" localSheetId="64">'310'!$I$76:$I$78</definedName>
    <definedName name="OSRRefD21_14x_5" localSheetId="72">'310 &amp; 491'!$I$83:$I$86</definedName>
    <definedName name="OSRRefD21_14x_5" localSheetId="58">'315'!$I$131:$I$137</definedName>
    <definedName name="OSRRefD21_14x_5" localSheetId="69">'325'!$I$73</definedName>
    <definedName name="OSRRefD21_14x_5" localSheetId="59">'326'!$I$96:$I$97</definedName>
    <definedName name="OSRRefD21_14x_5" localSheetId="57">'331'!$I$131:$I$133</definedName>
    <definedName name="OSRRefD21_14x_5" localSheetId="74">'405'!$I$79</definedName>
    <definedName name="OSRRefD21_14x_5" localSheetId="76">'411'!$I$76</definedName>
    <definedName name="OSRRefD21_14x_5" localSheetId="80">'415'!$I$76:$I$81</definedName>
    <definedName name="OSRRefD21_14x_5" localSheetId="89">'433'!$I$82</definedName>
    <definedName name="OSRRefD21_14x_5" localSheetId="91">'444'!$I$76:$I$83</definedName>
    <definedName name="OSRRefD21_14x_5" localSheetId="92">'450'!$I$70:$I$74</definedName>
    <definedName name="OSRRefD21_14x_5" localSheetId="73">'491'!$I$76:$I$79</definedName>
    <definedName name="OSRRefD21_14x_5" localSheetId="87">'492'!$I$77</definedName>
    <definedName name="OSRRefD21_14x_5" localSheetId="39">'Div 2'!$I$73:$I$74</definedName>
    <definedName name="OSRRefD21_14x_5" localSheetId="47">'Div 3'!$I$178:$I$179</definedName>
    <definedName name="OSRRefD21_14x_5" localSheetId="71">'Div 4'!$I$79</definedName>
    <definedName name="OSRRefD21_14x_5" localSheetId="2">Summary!$I$209:$I$210</definedName>
    <definedName name="OSRRefD21_14x_6" localSheetId="41">'201'!$J$68</definedName>
    <definedName name="OSRRefD21_14x_6" localSheetId="43">'203'!$J$70</definedName>
    <definedName name="OSRRefD21_14x_6" localSheetId="48">'300'!$J$175</definedName>
    <definedName name="OSRRefD21_14x_6" localSheetId="49">'300 &amp; 317'!$J$199</definedName>
    <definedName name="OSRRefD21_14x_6" localSheetId="50">'301'!$J$68</definedName>
    <definedName name="OSRRefD21_14x_6" localSheetId="64">'310'!$J$76:$J$78</definedName>
    <definedName name="OSRRefD21_14x_6" localSheetId="72">'310 &amp; 491'!$J$83:$J$86</definedName>
    <definedName name="OSRRefD21_14x_6" localSheetId="58">'315'!$J$131:$J$137</definedName>
    <definedName name="OSRRefD21_14x_6" localSheetId="69">'325'!$J$73</definedName>
    <definedName name="OSRRefD21_14x_6" localSheetId="59">'326'!$J$96:$J$97</definedName>
    <definedName name="OSRRefD21_14x_6" localSheetId="57">'331'!$J$131:$J$133</definedName>
    <definedName name="OSRRefD21_14x_6" localSheetId="74">'405'!$J$79</definedName>
    <definedName name="OSRRefD21_14x_6" localSheetId="76">'411'!$J$76</definedName>
    <definedName name="OSRRefD21_14x_6" localSheetId="80">'415'!$J$76:$J$81</definedName>
    <definedName name="OSRRefD21_14x_6" localSheetId="89">'433'!$J$82</definedName>
    <definedName name="OSRRefD21_14x_6" localSheetId="91">'444'!$J$76:$J$83</definedName>
    <definedName name="OSRRefD21_14x_6" localSheetId="92">'450'!$J$70:$J$74</definedName>
    <definedName name="OSRRefD21_14x_6" localSheetId="73">'491'!$J$76:$J$79</definedName>
    <definedName name="OSRRefD21_14x_6" localSheetId="87">'492'!$J$77</definedName>
    <definedName name="OSRRefD21_14x_6" localSheetId="39">'Div 2'!$J$73:$J$74</definedName>
    <definedName name="OSRRefD21_14x_6" localSheetId="47">'Div 3'!$J$178:$J$179</definedName>
    <definedName name="OSRRefD21_14x_6" localSheetId="71">'Div 4'!$J$79</definedName>
    <definedName name="OSRRefD21_14x_6" localSheetId="2">Summary!$J$209:$J$210</definedName>
    <definedName name="OSRRefD21_14x_7" localSheetId="41">'201'!$K$68</definedName>
    <definedName name="OSRRefD21_14x_7" localSheetId="43">'203'!$K$70</definedName>
    <definedName name="OSRRefD21_14x_7" localSheetId="48">'300'!$K$175</definedName>
    <definedName name="OSRRefD21_14x_7" localSheetId="49">'300 &amp; 317'!$K$199</definedName>
    <definedName name="OSRRefD21_14x_7" localSheetId="50">'301'!$K$68</definedName>
    <definedName name="OSRRefD21_14x_7" localSheetId="64">'310'!$K$76:$K$78</definedName>
    <definedName name="OSRRefD21_14x_7" localSheetId="72">'310 &amp; 491'!$K$83:$K$86</definedName>
    <definedName name="OSRRefD21_14x_7" localSheetId="58">'315'!$K$131:$K$137</definedName>
    <definedName name="OSRRefD21_14x_7" localSheetId="69">'325'!$K$73</definedName>
    <definedName name="OSRRefD21_14x_7" localSheetId="59">'326'!$K$96:$K$97</definedName>
    <definedName name="OSRRefD21_14x_7" localSheetId="57">'331'!$K$131:$K$133</definedName>
    <definedName name="OSRRefD21_14x_7" localSheetId="74">'405'!$K$79</definedName>
    <definedName name="OSRRefD21_14x_7" localSheetId="76">'411'!$K$76</definedName>
    <definedName name="OSRRefD21_14x_7" localSheetId="80">'415'!$K$76:$K$81</definedName>
    <definedName name="OSRRefD21_14x_7" localSheetId="89">'433'!$K$82</definedName>
    <definedName name="OSRRefD21_14x_7" localSheetId="91">'444'!$K$76:$K$83</definedName>
    <definedName name="OSRRefD21_14x_7" localSheetId="92">'450'!$K$70:$K$74</definedName>
    <definedName name="OSRRefD21_14x_7" localSheetId="73">'491'!$K$76:$K$79</definedName>
    <definedName name="OSRRefD21_14x_7" localSheetId="87">'492'!$K$77</definedName>
    <definedName name="OSRRefD21_14x_7" localSheetId="39">'Div 2'!$K$73:$K$74</definedName>
    <definedName name="OSRRefD21_14x_7" localSheetId="47">'Div 3'!$K$178:$K$179</definedName>
    <definedName name="OSRRefD21_14x_7" localSheetId="71">'Div 4'!$K$79</definedName>
    <definedName name="OSRRefD21_14x_7" localSheetId="2">Summary!$K$209:$K$210</definedName>
    <definedName name="OSRRefD21_14x_8" localSheetId="41">'201'!$L$68</definedName>
    <definedName name="OSRRefD21_14x_8" localSheetId="43">'203'!$L$70</definedName>
    <definedName name="OSRRefD21_14x_8" localSheetId="48">'300'!$L$175</definedName>
    <definedName name="OSRRefD21_14x_8" localSheetId="49">'300 &amp; 317'!$L$199</definedName>
    <definedName name="OSRRefD21_14x_8" localSheetId="50">'301'!$L$68</definedName>
    <definedName name="OSRRefD21_14x_8" localSheetId="64">'310'!$L$76:$L$78</definedName>
    <definedName name="OSRRefD21_14x_8" localSheetId="72">'310 &amp; 491'!$L$83:$L$86</definedName>
    <definedName name="OSRRefD21_14x_8" localSheetId="58">'315'!$L$131:$L$137</definedName>
    <definedName name="OSRRefD21_14x_8" localSheetId="69">'325'!$L$73</definedName>
    <definedName name="OSRRefD21_14x_8" localSheetId="59">'326'!$L$96:$L$97</definedName>
    <definedName name="OSRRefD21_14x_8" localSheetId="57">'331'!$L$131:$L$133</definedName>
    <definedName name="OSRRefD21_14x_8" localSheetId="74">'405'!$L$79</definedName>
    <definedName name="OSRRefD21_14x_8" localSheetId="76">'411'!$L$76</definedName>
    <definedName name="OSRRefD21_14x_8" localSheetId="80">'415'!$L$76:$L$81</definedName>
    <definedName name="OSRRefD21_14x_8" localSheetId="89">'433'!$L$82</definedName>
    <definedName name="OSRRefD21_14x_8" localSheetId="91">'444'!$L$76:$L$83</definedName>
    <definedName name="OSRRefD21_14x_8" localSheetId="92">'450'!$L$70:$L$74</definedName>
    <definedName name="OSRRefD21_14x_8" localSheetId="73">'491'!$L$76:$L$79</definedName>
    <definedName name="OSRRefD21_14x_8" localSheetId="87">'492'!$L$77</definedName>
    <definedName name="OSRRefD21_14x_8" localSheetId="39">'Div 2'!$L$73:$L$74</definedName>
    <definedName name="OSRRefD21_14x_8" localSheetId="47">'Div 3'!$L$178:$L$179</definedName>
    <definedName name="OSRRefD21_14x_8" localSheetId="71">'Div 4'!$L$79</definedName>
    <definedName name="OSRRefD21_14x_8" localSheetId="2">Summary!$L$209:$L$210</definedName>
    <definedName name="OSRRefD21_14x_9" localSheetId="41">'201'!$M$68</definedName>
    <definedName name="OSRRefD21_14x_9" localSheetId="43">'203'!$M$70</definedName>
    <definedName name="OSRRefD21_14x_9" localSheetId="48">'300'!$M$175</definedName>
    <definedName name="OSRRefD21_14x_9" localSheetId="49">'300 &amp; 317'!$M$199</definedName>
    <definedName name="OSRRefD21_14x_9" localSheetId="50">'301'!$M$68</definedName>
    <definedName name="OSRRefD21_14x_9" localSheetId="64">'310'!$M$76:$M$78</definedName>
    <definedName name="OSRRefD21_14x_9" localSheetId="72">'310 &amp; 491'!$M$83:$M$86</definedName>
    <definedName name="OSRRefD21_14x_9" localSheetId="58">'315'!$M$131:$M$137</definedName>
    <definedName name="OSRRefD21_14x_9" localSheetId="69">'325'!$M$73</definedName>
    <definedName name="OSRRefD21_14x_9" localSheetId="59">'326'!$M$96:$M$97</definedName>
    <definedName name="OSRRefD21_14x_9" localSheetId="57">'331'!$M$131:$M$133</definedName>
    <definedName name="OSRRefD21_14x_9" localSheetId="74">'405'!$M$79</definedName>
    <definedName name="OSRRefD21_14x_9" localSheetId="76">'411'!$M$76</definedName>
    <definedName name="OSRRefD21_14x_9" localSheetId="80">'415'!$M$76:$M$81</definedName>
    <definedName name="OSRRefD21_14x_9" localSheetId="89">'433'!$M$82</definedName>
    <definedName name="OSRRefD21_14x_9" localSheetId="91">'444'!$M$76:$M$83</definedName>
    <definedName name="OSRRefD21_14x_9" localSheetId="92">'450'!$M$70:$M$74</definedName>
    <definedName name="OSRRefD21_14x_9" localSheetId="73">'491'!$M$76:$M$79</definedName>
    <definedName name="OSRRefD21_14x_9" localSheetId="87">'492'!$M$77</definedName>
    <definedName name="OSRRefD21_14x_9" localSheetId="39">'Div 2'!$M$73:$M$74</definedName>
    <definedName name="OSRRefD21_14x_9" localSheetId="47">'Div 3'!$M$178:$M$179</definedName>
    <definedName name="OSRRefD21_14x_9" localSheetId="71">'Div 4'!$M$79</definedName>
    <definedName name="OSRRefD21_14x_9" localSheetId="2">Summary!$M$209:$M$210</definedName>
    <definedName name="OSRRefD21_15_0x" localSheetId="41">'201'!$D$70:$M$70</definedName>
    <definedName name="OSRRefD21_15_0x" localSheetId="48">'300'!$D$177:$M$177</definedName>
    <definedName name="OSRRefD21_15_0x" localSheetId="49">'300 &amp; 317'!$D$201:$M$201</definedName>
    <definedName name="OSRRefD21_15_0x" localSheetId="50">'301'!$D$70:$M$70</definedName>
    <definedName name="OSRRefD21_15_0x" localSheetId="64">'310'!$D$80:$M$80</definedName>
    <definedName name="OSRRefD21_15_0x" localSheetId="72">'310 &amp; 491'!$D$88:$M$88</definedName>
    <definedName name="OSRRefD21_15_0x" localSheetId="58">'315'!$D$139:$M$139</definedName>
    <definedName name="OSRRefD21_15_0x" localSheetId="59">'326'!$D$99:$M$99</definedName>
    <definedName name="OSRRefD21_15_0x" localSheetId="57">'331'!$D$135:$M$135</definedName>
    <definedName name="OSRRefD21_15_0x" localSheetId="74">'405'!$D$81:$M$81</definedName>
    <definedName name="OSRRefD21_15_0x" localSheetId="76">'411'!$D$78:$M$78</definedName>
    <definedName name="OSRRefD21_15_0x" localSheetId="80">'415'!$D$83:$M$83</definedName>
    <definedName name="OSRRefD21_15_0x" localSheetId="89">'433'!$D$84:$M$84</definedName>
    <definedName name="OSRRefD21_15_0x" localSheetId="91">'444'!$D$85:$M$85</definedName>
    <definedName name="OSRRefD21_15_0x" localSheetId="92">'450'!$D$76:$M$76</definedName>
    <definedName name="OSRRefD21_15_0x" localSheetId="73">'491'!$D$81:$M$81</definedName>
    <definedName name="OSRRefD21_15_0x" localSheetId="87">'492'!$D$79:$M$79</definedName>
    <definedName name="OSRRefD21_15_0x" localSheetId="39">'Div 2'!$D$76:$M$76</definedName>
    <definedName name="OSRRefD21_15_0x" localSheetId="47">'Div 3'!$D$181:$M$181</definedName>
    <definedName name="OSRRefD21_15_0x" localSheetId="71">'Div 4'!$D$81:$M$81</definedName>
    <definedName name="OSRRefD21_15_0x" localSheetId="2">Summary!$D$212:$M$212</definedName>
    <definedName name="OSRRefD21_15_1x" localSheetId="50">'301'!$D$71:$M$71</definedName>
    <definedName name="OSRRefD21_15_1x" localSheetId="64">'310'!$D$81:$M$81</definedName>
    <definedName name="OSRRefD21_15_1x" localSheetId="72">'310 &amp; 491'!$D$89:$M$89</definedName>
    <definedName name="OSRRefD21_15_1x" localSheetId="59">'326'!$D$100:$M$100</definedName>
    <definedName name="OSRRefD21_15_1x" localSheetId="57">'331'!$D$136:$M$136</definedName>
    <definedName name="OSRRefD21_15_1x" localSheetId="80">'415'!$D$84:$M$84</definedName>
    <definedName name="OSRRefD21_15_1x" localSheetId="91">'444'!$D$86:$M$86</definedName>
    <definedName name="OSRRefD21_15_1x" localSheetId="92">'450'!$D$77:$M$77</definedName>
    <definedName name="OSRRefD21_15_1x" localSheetId="73">'491'!$D$82:$M$82</definedName>
    <definedName name="OSRRefD21_15_1x" localSheetId="87">'492'!$D$80:$M$80</definedName>
    <definedName name="OSRRefD21_15_1x" localSheetId="39">'Div 2'!$D$77:$M$77</definedName>
    <definedName name="OSRRefD21_15_1x" localSheetId="71">'Div 4'!$D$82:$M$82</definedName>
    <definedName name="OSRRefD21_15_2x" localSheetId="50">'301'!$D$72:$M$72</definedName>
    <definedName name="OSRRefD21_15_2x" localSheetId="64">'310'!$D$82:$M$82</definedName>
    <definedName name="OSRRefD21_15_2x" localSheetId="59">'326'!$D$101:$M$101</definedName>
    <definedName name="OSRRefD21_15_2x" localSheetId="57">'331'!$D$137:$M$137</definedName>
    <definedName name="OSRRefD21_15_2x" localSheetId="87">'492'!$D$81:$M$81</definedName>
    <definedName name="OSRRefD21_15_2x" localSheetId="71">'Div 4'!$D$83:$M$83</definedName>
    <definedName name="OSRRefD21_15_3x" localSheetId="50">'301'!$D$73:$M$73</definedName>
    <definedName name="OSRRefD21_15_3x" localSheetId="64">'310'!$D$83:$M$83</definedName>
    <definedName name="OSRRefD21_15_3x" localSheetId="59">'326'!$D$102:$M$102</definedName>
    <definedName name="OSRRefD21_15_3x" localSheetId="87">'492'!$D$82:$M$82</definedName>
    <definedName name="OSRRefD21_15_3x" localSheetId="71">'Div 4'!$D$84:$M$84</definedName>
    <definedName name="OSRRefD21_15_4x" localSheetId="64">'310'!$D$84:$M$84</definedName>
    <definedName name="OSRRefD21_15_4x" localSheetId="59">'326'!$D$103:$M$103</definedName>
    <definedName name="OSRRefD21_15_4x" localSheetId="87">'492'!$D$83:$M$83</definedName>
    <definedName name="OSRRefD21_15_5x" localSheetId="64">'310'!$D$85:$M$85</definedName>
    <definedName name="OSRRefD21_15_5x" localSheetId="59">'326'!$D$104:$M$104</definedName>
    <definedName name="OSRRefD21_15_5x" localSheetId="87">'492'!$D$84:$M$84</definedName>
    <definedName name="OSRRefD21_15_6x" localSheetId="87">'492'!$D$85:$M$85</definedName>
    <definedName name="OSRRefD21_15_7x" localSheetId="87">'492'!$D$86:$M$86</definedName>
    <definedName name="OSRRefD21_15_8x" localSheetId="87">'492'!$D$87:$M$87</definedName>
    <definedName name="OSRRefD21_15_9x" localSheetId="87">'492'!$D$88:$M$88</definedName>
    <definedName name="OSRRefD21_15x_0" localSheetId="41">'201'!$D$70</definedName>
    <definedName name="OSRRefD21_15x_0" localSheetId="48">'300'!$D$177</definedName>
    <definedName name="OSRRefD21_15x_0" localSheetId="49">'300 &amp; 317'!$D$201</definedName>
    <definedName name="OSRRefD21_15x_0" localSheetId="50">'301'!$D$70:$D$73</definedName>
    <definedName name="OSRRefD21_15x_0" localSheetId="64">'310'!$D$80:$D$85</definedName>
    <definedName name="OSRRefD21_15x_0" localSheetId="72">'310 &amp; 491'!$D$88:$D$89</definedName>
    <definedName name="OSRRefD21_15x_0" localSheetId="58">'315'!$D$139</definedName>
    <definedName name="OSRRefD21_15x_0" localSheetId="59">'326'!$D$99:$D$104</definedName>
    <definedName name="OSRRefD21_15x_0" localSheetId="57">'331'!$D$135:$D$137</definedName>
    <definedName name="OSRRefD21_15x_0" localSheetId="74">'405'!$D$81</definedName>
    <definedName name="OSRRefD21_15x_0" localSheetId="76">'411'!$D$78</definedName>
    <definedName name="OSRRefD21_15x_0" localSheetId="80">'415'!$D$83:$D$84</definedName>
    <definedName name="OSRRefD21_15x_0" localSheetId="89">'433'!$D$84</definedName>
    <definedName name="OSRRefD21_15x_0" localSheetId="91">'444'!$D$85:$D$86</definedName>
    <definedName name="OSRRefD21_15x_0" localSheetId="92">'450'!$D$76:$D$77</definedName>
    <definedName name="OSRRefD21_15x_0" localSheetId="73">'491'!$D$81:$D$82</definedName>
    <definedName name="OSRRefD21_15x_0" localSheetId="87">'492'!$D$79:$D$88</definedName>
    <definedName name="OSRRefD21_15x_0" localSheetId="39">'Div 2'!$D$76:$D$77</definedName>
    <definedName name="OSRRefD21_15x_0" localSheetId="47">'Div 3'!$D$181</definedName>
    <definedName name="OSRRefD21_15x_0" localSheetId="71">'Div 4'!$D$81:$D$84</definedName>
    <definedName name="OSRRefD21_15x_0" localSheetId="2">Summary!$D$212</definedName>
    <definedName name="OSRRefD21_15x_1" localSheetId="41">'201'!$E$70</definedName>
    <definedName name="OSRRefD21_15x_1" localSheetId="48">'300'!$E$177</definedName>
    <definedName name="OSRRefD21_15x_1" localSheetId="49">'300 &amp; 317'!$E$201</definedName>
    <definedName name="OSRRefD21_15x_1" localSheetId="50">'301'!$E$70:$E$73</definedName>
    <definedName name="OSRRefD21_15x_1" localSheetId="64">'310'!$E$80:$E$85</definedName>
    <definedName name="OSRRefD21_15x_1" localSheetId="72">'310 &amp; 491'!$E$88:$E$89</definedName>
    <definedName name="OSRRefD21_15x_1" localSheetId="58">'315'!$E$139</definedName>
    <definedName name="OSRRefD21_15x_1" localSheetId="59">'326'!$E$99:$E$104</definedName>
    <definedName name="OSRRefD21_15x_1" localSheetId="57">'331'!$E$135:$E$137</definedName>
    <definedName name="OSRRefD21_15x_1" localSheetId="74">'405'!$E$81</definedName>
    <definedName name="OSRRefD21_15x_1" localSheetId="76">'411'!$E$78</definedName>
    <definedName name="OSRRefD21_15x_1" localSheetId="80">'415'!$E$83:$E$84</definedName>
    <definedName name="OSRRefD21_15x_1" localSheetId="89">'433'!$E$84</definedName>
    <definedName name="OSRRefD21_15x_1" localSheetId="91">'444'!$E$85:$E$86</definedName>
    <definedName name="OSRRefD21_15x_1" localSheetId="92">'450'!$E$76:$E$77</definedName>
    <definedName name="OSRRefD21_15x_1" localSheetId="73">'491'!$E$81:$E$82</definedName>
    <definedName name="OSRRefD21_15x_1" localSheetId="87">'492'!$E$79:$E$88</definedName>
    <definedName name="OSRRefD21_15x_1" localSheetId="39">'Div 2'!$E$76:$E$77</definedName>
    <definedName name="OSRRefD21_15x_1" localSheetId="47">'Div 3'!$E$181</definedName>
    <definedName name="OSRRefD21_15x_1" localSheetId="71">'Div 4'!$E$81:$E$84</definedName>
    <definedName name="OSRRefD21_15x_1" localSheetId="2">Summary!$E$212</definedName>
    <definedName name="OSRRefD21_15x_2" localSheetId="41">'201'!$F$70</definedName>
    <definedName name="OSRRefD21_15x_2" localSheetId="48">'300'!$F$177</definedName>
    <definedName name="OSRRefD21_15x_2" localSheetId="49">'300 &amp; 317'!$F$201</definedName>
    <definedName name="OSRRefD21_15x_2" localSheetId="50">'301'!$F$70:$F$73</definedName>
    <definedName name="OSRRefD21_15x_2" localSheetId="64">'310'!$F$80:$F$85</definedName>
    <definedName name="OSRRefD21_15x_2" localSheetId="72">'310 &amp; 491'!$F$88:$F$89</definedName>
    <definedName name="OSRRefD21_15x_2" localSheetId="58">'315'!$F$139</definedName>
    <definedName name="OSRRefD21_15x_2" localSheetId="59">'326'!$F$99:$F$104</definedName>
    <definedName name="OSRRefD21_15x_2" localSheetId="57">'331'!$F$135:$F$137</definedName>
    <definedName name="OSRRefD21_15x_2" localSheetId="74">'405'!$F$81</definedName>
    <definedName name="OSRRefD21_15x_2" localSheetId="76">'411'!$F$78</definedName>
    <definedName name="OSRRefD21_15x_2" localSheetId="80">'415'!$F$83:$F$84</definedName>
    <definedName name="OSRRefD21_15x_2" localSheetId="89">'433'!$F$84</definedName>
    <definedName name="OSRRefD21_15x_2" localSheetId="91">'444'!$F$85:$F$86</definedName>
    <definedName name="OSRRefD21_15x_2" localSheetId="92">'450'!$F$76:$F$77</definedName>
    <definedName name="OSRRefD21_15x_2" localSheetId="73">'491'!$F$81:$F$82</definedName>
    <definedName name="OSRRefD21_15x_2" localSheetId="87">'492'!$F$79:$F$88</definedName>
    <definedName name="OSRRefD21_15x_2" localSheetId="39">'Div 2'!$F$76:$F$77</definedName>
    <definedName name="OSRRefD21_15x_2" localSheetId="47">'Div 3'!$F$181</definedName>
    <definedName name="OSRRefD21_15x_2" localSheetId="71">'Div 4'!$F$81:$F$84</definedName>
    <definedName name="OSRRefD21_15x_2" localSheetId="2">Summary!$F$212</definedName>
    <definedName name="OSRRefD21_15x_3" localSheetId="41">'201'!$G$70</definedName>
    <definedName name="OSRRefD21_15x_3" localSheetId="48">'300'!$G$177</definedName>
    <definedName name="OSRRefD21_15x_3" localSheetId="49">'300 &amp; 317'!$G$201</definedName>
    <definedName name="OSRRefD21_15x_3" localSheetId="50">'301'!$G$70:$G$73</definedName>
    <definedName name="OSRRefD21_15x_3" localSheetId="64">'310'!$G$80:$G$85</definedName>
    <definedName name="OSRRefD21_15x_3" localSheetId="72">'310 &amp; 491'!$G$88:$G$89</definedName>
    <definedName name="OSRRefD21_15x_3" localSheetId="58">'315'!$G$139</definedName>
    <definedName name="OSRRefD21_15x_3" localSheetId="59">'326'!$G$99:$G$104</definedName>
    <definedName name="OSRRefD21_15x_3" localSheetId="57">'331'!$G$135:$G$137</definedName>
    <definedName name="OSRRefD21_15x_3" localSheetId="74">'405'!$G$81</definedName>
    <definedName name="OSRRefD21_15x_3" localSheetId="76">'411'!$G$78</definedName>
    <definedName name="OSRRefD21_15x_3" localSheetId="80">'415'!$G$83:$G$84</definedName>
    <definedName name="OSRRefD21_15x_3" localSheetId="89">'433'!$G$84</definedName>
    <definedName name="OSRRefD21_15x_3" localSheetId="91">'444'!$G$85:$G$86</definedName>
    <definedName name="OSRRefD21_15x_3" localSheetId="92">'450'!$G$76:$G$77</definedName>
    <definedName name="OSRRefD21_15x_3" localSheetId="73">'491'!$G$81:$G$82</definedName>
    <definedName name="OSRRefD21_15x_3" localSheetId="87">'492'!$G$79:$G$88</definedName>
    <definedName name="OSRRefD21_15x_3" localSheetId="39">'Div 2'!$G$76:$G$77</definedName>
    <definedName name="OSRRefD21_15x_3" localSheetId="47">'Div 3'!$G$181</definedName>
    <definedName name="OSRRefD21_15x_3" localSheetId="71">'Div 4'!$G$81:$G$84</definedName>
    <definedName name="OSRRefD21_15x_3" localSheetId="2">Summary!$G$212</definedName>
    <definedName name="OSRRefD21_15x_4" localSheetId="41">'201'!$H$70</definedName>
    <definedName name="OSRRefD21_15x_4" localSheetId="48">'300'!$H$177</definedName>
    <definedName name="OSRRefD21_15x_4" localSheetId="49">'300 &amp; 317'!$H$201</definedName>
    <definedName name="OSRRefD21_15x_4" localSheetId="50">'301'!$H$70:$H$73</definedName>
    <definedName name="OSRRefD21_15x_4" localSheetId="64">'310'!$H$80:$H$85</definedName>
    <definedName name="OSRRefD21_15x_4" localSheetId="72">'310 &amp; 491'!$H$88:$H$89</definedName>
    <definedName name="OSRRefD21_15x_4" localSheetId="58">'315'!$H$139</definedName>
    <definedName name="OSRRefD21_15x_4" localSheetId="59">'326'!$H$99:$H$104</definedName>
    <definedName name="OSRRefD21_15x_4" localSheetId="57">'331'!$H$135:$H$137</definedName>
    <definedName name="OSRRefD21_15x_4" localSheetId="74">'405'!$H$81</definedName>
    <definedName name="OSRRefD21_15x_4" localSheetId="76">'411'!$H$78</definedName>
    <definedName name="OSRRefD21_15x_4" localSheetId="80">'415'!$H$83:$H$84</definedName>
    <definedName name="OSRRefD21_15x_4" localSheetId="89">'433'!$H$84</definedName>
    <definedName name="OSRRefD21_15x_4" localSheetId="91">'444'!$H$85:$H$86</definedName>
    <definedName name="OSRRefD21_15x_4" localSheetId="92">'450'!$H$76:$H$77</definedName>
    <definedName name="OSRRefD21_15x_4" localSheetId="73">'491'!$H$81:$H$82</definedName>
    <definedName name="OSRRefD21_15x_4" localSheetId="87">'492'!$H$79:$H$88</definedName>
    <definedName name="OSRRefD21_15x_4" localSheetId="39">'Div 2'!$H$76:$H$77</definedName>
    <definedName name="OSRRefD21_15x_4" localSheetId="47">'Div 3'!$H$181</definedName>
    <definedName name="OSRRefD21_15x_4" localSheetId="71">'Div 4'!$H$81:$H$84</definedName>
    <definedName name="OSRRefD21_15x_4" localSheetId="2">Summary!$H$212</definedName>
    <definedName name="OSRRefD21_15x_5" localSheetId="41">'201'!$I$70</definedName>
    <definedName name="OSRRefD21_15x_5" localSheetId="48">'300'!$I$177</definedName>
    <definedName name="OSRRefD21_15x_5" localSheetId="49">'300 &amp; 317'!$I$201</definedName>
    <definedName name="OSRRefD21_15x_5" localSheetId="50">'301'!$I$70:$I$73</definedName>
    <definedName name="OSRRefD21_15x_5" localSheetId="64">'310'!$I$80:$I$85</definedName>
    <definedName name="OSRRefD21_15x_5" localSheetId="72">'310 &amp; 491'!$I$88:$I$89</definedName>
    <definedName name="OSRRefD21_15x_5" localSheetId="58">'315'!$I$139</definedName>
    <definedName name="OSRRefD21_15x_5" localSheetId="59">'326'!$I$99:$I$104</definedName>
    <definedName name="OSRRefD21_15x_5" localSheetId="57">'331'!$I$135:$I$137</definedName>
    <definedName name="OSRRefD21_15x_5" localSheetId="74">'405'!$I$81</definedName>
    <definedName name="OSRRefD21_15x_5" localSheetId="76">'411'!$I$78</definedName>
    <definedName name="OSRRefD21_15x_5" localSheetId="80">'415'!$I$83:$I$84</definedName>
    <definedName name="OSRRefD21_15x_5" localSheetId="89">'433'!$I$84</definedName>
    <definedName name="OSRRefD21_15x_5" localSheetId="91">'444'!$I$85:$I$86</definedName>
    <definedName name="OSRRefD21_15x_5" localSheetId="92">'450'!$I$76:$I$77</definedName>
    <definedName name="OSRRefD21_15x_5" localSheetId="73">'491'!$I$81:$I$82</definedName>
    <definedName name="OSRRefD21_15x_5" localSheetId="87">'492'!$I$79:$I$88</definedName>
    <definedName name="OSRRefD21_15x_5" localSheetId="39">'Div 2'!$I$76:$I$77</definedName>
    <definedName name="OSRRefD21_15x_5" localSheetId="47">'Div 3'!$I$181</definedName>
    <definedName name="OSRRefD21_15x_5" localSheetId="71">'Div 4'!$I$81:$I$84</definedName>
    <definedName name="OSRRefD21_15x_5" localSheetId="2">Summary!$I$212</definedName>
    <definedName name="OSRRefD21_15x_6" localSheetId="41">'201'!$J$70</definedName>
    <definedName name="OSRRefD21_15x_6" localSheetId="48">'300'!$J$177</definedName>
    <definedName name="OSRRefD21_15x_6" localSheetId="49">'300 &amp; 317'!$J$201</definedName>
    <definedName name="OSRRefD21_15x_6" localSheetId="50">'301'!$J$70:$J$73</definedName>
    <definedName name="OSRRefD21_15x_6" localSheetId="64">'310'!$J$80:$J$85</definedName>
    <definedName name="OSRRefD21_15x_6" localSheetId="72">'310 &amp; 491'!$J$88:$J$89</definedName>
    <definedName name="OSRRefD21_15x_6" localSheetId="58">'315'!$J$139</definedName>
    <definedName name="OSRRefD21_15x_6" localSheetId="59">'326'!$J$99:$J$104</definedName>
    <definedName name="OSRRefD21_15x_6" localSheetId="57">'331'!$J$135:$J$137</definedName>
    <definedName name="OSRRefD21_15x_6" localSheetId="74">'405'!$J$81</definedName>
    <definedName name="OSRRefD21_15x_6" localSheetId="76">'411'!$J$78</definedName>
    <definedName name="OSRRefD21_15x_6" localSheetId="80">'415'!$J$83:$J$84</definedName>
    <definedName name="OSRRefD21_15x_6" localSheetId="89">'433'!$J$84</definedName>
    <definedName name="OSRRefD21_15x_6" localSheetId="91">'444'!$J$85:$J$86</definedName>
    <definedName name="OSRRefD21_15x_6" localSheetId="92">'450'!$J$76:$J$77</definedName>
    <definedName name="OSRRefD21_15x_6" localSheetId="73">'491'!$J$81:$J$82</definedName>
    <definedName name="OSRRefD21_15x_6" localSheetId="87">'492'!$J$79:$J$88</definedName>
    <definedName name="OSRRefD21_15x_6" localSheetId="39">'Div 2'!$J$76:$J$77</definedName>
    <definedName name="OSRRefD21_15x_6" localSheetId="47">'Div 3'!$J$181</definedName>
    <definedName name="OSRRefD21_15x_6" localSheetId="71">'Div 4'!$J$81:$J$84</definedName>
    <definedName name="OSRRefD21_15x_6" localSheetId="2">Summary!$J$212</definedName>
    <definedName name="OSRRefD21_15x_7" localSheetId="41">'201'!$K$70</definedName>
    <definedName name="OSRRefD21_15x_7" localSheetId="48">'300'!$K$177</definedName>
    <definedName name="OSRRefD21_15x_7" localSheetId="49">'300 &amp; 317'!$K$201</definedName>
    <definedName name="OSRRefD21_15x_7" localSheetId="50">'301'!$K$70:$K$73</definedName>
    <definedName name="OSRRefD21_15x_7" localSheetId="64">'310'!$K$80:$K$85</definedName>
    <definedName name="OSRRefD21_15x_7" localSheetId="72">'310 &amp; 491'!$K$88:$K$89</definedName>
    <definedName name="OSRRefD21_15x_7" localSheetId="58">'315'!$K$139</definedName>
    <definedName name="OSRRefD21_15x_7" localSheetId="59">'326'!$K$99:$K$104</definedName>
    <definedName name="OSRRefD21_15x_7" localSheetId="57">'331'!$K$135:$K$137</definedName>
    <definedName name="OSRRefD21_15x_7" localSheetId="74">'405'!$K$81</definedName>
    <definedName name="OSRRefD21_15x_7" localSheetId="76">'411'!$K$78</definedName>
    <definedName name="OSRRefD21_15x_7" localSheetId="80">'415'!$K$83:$K$84</definedName>
    <definedName name="OSRRefD21_15x_7" localSheetId="89">'433'!$K$84</definedName>
    <definedName name="OSRRefD21_15x_7" localSheetId="91">'444'!$K$85:$K$86</definedName>
    <definedName name="OSRRefD21_15x_7" localSheetId="92">'450'!$K$76:$K$77</definedName>
    <definedName name="OSRRefD21_15x_7" localSheetId="73">'491'!$K$81:$K$82</definedName>
    <definedName name="OSRRefD21_15x_7" localSheetId="87">'492'!$K$79:$K$88</definedName>
    <definedName name="OSRRefD21_15x_7" localSheetId="39">'Div 2'!$K$76:$K$77</definedName>
    <definedName name="OSRRefD21_15x_7" localSheetId="47">'Div 3'!$K$181</definedName>
    <definedName name="OSRRefD21_15x_7" localSheetId="71">'Div 4'!$K$81:$K$84</definedName>
    <definedName name="OSRRefD21_15x_7" localSheetId="2">Summary!$K$212</definedName>
    <definedName name="OSRRefD21_15x_8" localSheetId="41">'201'!$L$70</definedName>
    <definedName name="OSRRefD21_15x_8" localSheetId="48">'300'!$L$177</definedName>
    <definedName name="OSRRefD21_15x_8" localSheetId="49">'300 &amp; 317'!$L$201</definedName>
    <definedName name="OSRRefD21_15x_8" localSheetId="50">'301'!$L$70:$L$73</definedName>
    <definedName name="OSRRefD21_15x_8" localSheetId="64">'310'!$L$80:$L$85</definedName>
    <definedName name="OSRRefD21_15x_8" localSheetId="72">'310 &amp; 491'!$L$88:$L$89</definedName>
    <definedName name="OSRRefD21_15x_8" localSheetId="58">'315'!$L$139</definedName>
    <definedName name="OSRRefD21_15x_8" localSheetId="59">'326'!$L$99:$L$104</definedName>
    <definedName name="OSRRefD21_15x_8" localSheetId="57">'331'!$L$135:$L$137</definedName>
    <definedName name="OSRRefD21_15x_8" localSheetId="74">'405'!$L$81</definedName>
    <definedName name="OSRRefD21_15x_8" localSheetId="76">'411'!$L$78</definedName>
    <definedName name="OSRRefD21_15x_8" localSheetId="80">'415'!$L$83:$L$84</definedName>
    <definedName name="OSRRefD21_15x_8" localSheetId="89">'433'!$L$84</definedName>
    <definedName name="OSRRefD21_15x_8" localSheetId="91">'444'!$L$85:$L$86</definedName>
    <definedName name="OSRRefD21_15x_8" localSheetId="92">'450'!$L$76:$L$77</definedName>
    <definedName name="OSRRefD21_15x_8" localSheetId="73">'491'!$L$81:$L$82</definedName>
    <definedName name="OSRRefD21_15x_8" localSheetId="87">'492'!$L$79:$L$88</definedName>
    <definedName name="OSRRefD21_15x_8" localSheetId="39">'Div 2'!$L$76:$L$77</definedName>
    <definedName name="OSRRefD21_15x_8" localSheetId="47">'Div 3'!$L$181</definedName>
    <definedName name="OSRRefD21_15x_8" localSheetId="71">'Div 4'!$L$81:$L$84</definedName>
    <definedName name="OSRRefD21_15x_8" localSheetId="2">Summary!$L$212</definedName>
    <definedName name="OSRRefD21_15x_9" localSheetId="41">'201'!$M$70</definedName>
    <definedName name="OSRRefD21_15x_9" localSheetId="48">'300'!$M$177</definedName>
    <definedName name="OSRRefD21_15x_9" localSheetId="49">'300 &amp; 317'!$M$201</definedName>
    <definedName name="OSRRefD21_15x_9" localSheetId="50">'301'!$M$70:$M$73</definedName>
    <definedName name="OSRRefD21_15x_9" localSheetId="64">'310'!$M$80:$M$85</definedName>
    <definedName name="OSRRefD21_15x_9" localSheetId="72">'310 &amp; 491'!$M$88:$M$89</definedName>
    <definedName name="OSRRefD21_15x_9" localSheetId="58">'315'!$M$139</definedName>
    <definedName name="OSRRefD21_15x_9" localSheetId="59">'326'!$M$99:$M$104</definedName>
    <definedName name="OSRRefD21_15x_9" localSheetId="57">'331'!$M$135:$M$137</definedName>
    <definedName name="OSRRefD21_15x_9" localSheetId="74">'405'!$M$81</definedName>
    <definedName name="OSRRefD21_15x_9" localSheetId="76">'411'!$M$78</definedName>
    <definedName name="OSRRefD21_15x_9" localSheetId="80">'415'!$M$83:$M$84</definedName>
    <definedName name="OSRRefD21_15x_9" localSheetId="89">'433'!$M$84</definedName>
    <definedName name="OSRRefD21_15x_9" localSheetId="91">'444'!$M$85:$M$86</definedName>
    <definedName name="OSRRefD21_15x_9" localSheetId="92">'450'!$M$76:$M$77</definedName>
    <definedName name="OSRRefD21_15x_9" localSheetId="73">'491'!$M$81:$M$82</definedName>
    <definedName name="OSRRefD21_15x_9" localSheetId="87">'492'!$M$79:$M$88</definedName>
    <definedName name="OSRRefD21_15x_9" localSheetId="39">'Div 2'!$M$76:$M$77</definedName>
    <definedName name="OSRRefD21_15x_9" localSheetId="47">'Div 3'!$M$181</definedName>
    <definedName name="OSRRefD21_15x_9" localSheetId="71">'Div 4'!$M$81:$M$84</definedName>
    <definedName name="OSRRefD21_15x_9" localSheetId="2">Summary!$M$212</definedName>
    <definedName name="OSRRefD21_16_0x" localSheetId="48">'300'!$D$179:$M$179</definedName>
    <definedName name="OSRRefD21_16_0x" localSheetId="49">'300 &amp; 317'!$D$203:$M$203</definedName>
    <definedName name="OSRRefD21_16_0x" localSheetId="50">'301'!$D$75:$M$75</definedName>
    <definedName name="OSRRefD21_16_0x" localSheetId="64">'310'!$D$87:$M$87</definedName>
    <definedName name="OSRRefD21_16_0x" localSheetId="72">'310 &amp; 491'!$D$91:$M$91</definedName>
    <definedName name="OSRRefD21_16_0x" localSheetId="58">'315'!$D$141:$M$141</definedName>
    <definedName name="OSRRefD21_16_0x" localSheetId="59">'326'!$D$106:$M$106</definedName>
    <definedName name="OSRRefD21_16_0x" localSheetId="57">'331'!$D$139:$M$139</definedName>
    <definedName name="OSRRefD21_16_0x" localSheetId="80">'415'!$D$86:$M$86</definedName>
    <definedName name="OSRRefD21_16_0x" localSheetId="91">'444'!$D$88:$M$88</definedName>
    <definedName name="OSRRefD21_16_0x" localSheetId="92">'450'!$D$79:$M$79</definedName>
    <definedName name="OSRRefD21_16_0x" localSheetId="73">'491'!$D$84:$M$84</definedName>
    <definedName name="OSRRefD21_16_0x" localSheetId="87">'492'!$D$90:$M$90</definedName>
    <definedName name="OSRRefD21_16_0x" localSheetId="39">'Div 2'!$D$79:$M$79</definedName>
    <definedName name="OSRRefD21_16_0x" localSheetId="47">'Div 3'!$D$183:$M$183</definedName>
    <definedName name="OSRRefD21_16_0x" localSheetId="71">'Div 4'!$D$86:$M$86</definedName>
    <definedName name="OSRRefD21_16_0x" localSheetId="2">Summary!$D$214:$M$214</definedName>
    <definedName name="OSRRefD21_16_1x" localSheetId="48">'300'!$D$180:$M$180</definedName>
    <definedName name="OSRRefD21_16_1x" localSheetId="49">'300 &amp; 317'!$D$204:$M$204</definedName>
    <definedName name="OSRRefD21_16_1x" localSheetId="50">'301'!$D$76:$M$76</definedName>
    <definedName name="OSRRefD21_16_1x" localSheetId="64">'310'!$D$88:$M$88</definedName>
    <definedName name="OSRRefD21_16_1x" localSheetId="72">'310 &amp; 491'!$D$92:$M$92</definedName>
    <definedName name="OSRRefD21_16_1x" localSheetId="58">'315'!$D$142:$M$142</definedName>
    <definedName name="OSRRefD21_16_1x" localSheetId="59">'326'!$D$107:$M$107</definedName>
    <definedName name="OSRRefD21_16_1x" localSheetId="57">'331'!$D$140:$M$140</definedName>
    <definedName name="OSRRefD21_16_1x" localSheetId="73">'491'!$D$85:$M$85</definedName>
    <definedName name="OSRRefD21_16_1x" localSheetId="87">'492'!$D$91:$M$91</definedName>
    <definedName name="OSRRefD21_16_1x" localSheetId="39">'Div 2'!$D$80:$M$80</definedName>
    <definedName name="OSRRefD21_16_1x" localSheetId="71">'Div 4'!$D$87:$M$87</definedName>
    <definedName name="OSRRefD21_16_2x" localSheetId="48">'300'!$D$181:$M$181</definedName>
    <definedName name="OSRRefD21_16_2x" localSheetId="49">'300 &amp; 317'!$D$205:$M$205</definedName>
    <definedName name="OSRRefD21_16_2x" localSheetId="50">'301'!$D$77:$M$77</definedName>
    <definedName name="OSRRefD21_16_2x" localSheetId="72">'310 &amp; 491'!$D$93:$M$93</definedName>
    <definedName name="OSRRefD21_16_2x" localSheetId="73">'491'!$D$86:$M$86</definedName>
    <definedName name="OSRRefD21_16_2x" localSheetId="39">'Div 2'!$D$81:$M$81</definedName>
    <definedName name="OSRRefD21_16_3x" localSheetId="48">'300'!$D$182:$M$182</definedName>
    <definedName name="OSRRefD21_16_3x" localSheetId="49">'300 &amp; 317'!$D$206:$M$206</definedName>
    <definedName name="OSRRefD21_16_3x" localSheetId="72">'310 &amp; 491'!$D$94:$M$94</definedName>
    <definedName name="OSRRefD21_16_3x" localSheetId="73">'491'!$D$87:$M$87</definedName>
    <definedName name="OSRRefD21_16_3x" localSheetId="39">'Div 2'!$D$82:$M$82</definedName>
    <definedName name="OSRRefD21_16_4x" localSheetId="72">'310 &amp; 491'!$D$95:$M$95</definedName>
    <definedName name="OSRRefD21_16_4x" localSheetId="73">'491'!$D$88:$M$88</definedName>
    <definedName name="OSRRefD21_16x_0" localSheetId="48">'300'!$D$179:$D$182</definedName>
    <definedName name="OSRRefD21_16x_0" localSheetId="49">'300 &amp; 317'!$D$203:$D$206</definedName>
    <definedName name="OSRRefD21_16x_0" localSheetId="50">'301'!$D$75:$D$77</definedName>
    <definedName name="OSRRefD21_16x_0" localSheetId="64">'310'!$D$87:$D$88</definedName>
    <definedName name="OSRRefD21_16x_0" localSheetId="72">'310 &amp; 491'!$D$91:$D$95</definedName>
    <definedName name="OSRRefD21_16x_0" localSheetId="58">'315'!$D$141:$D$142</definedName>
    <definedName name="OSRRefD21_16x_0" localSheetId="59">'326'!$D$106:$D$107</definedName>
    <definedName name="OSRRefD21_16x_0" localSheetId="57">'331'!$D$139:$D$140</definedName>
    <definedName name="OSRRefD21_16x_0" localSheetId="80">'415'!$D$86</definedName>
    <definedName name="OSRRefD21_16x_0" localSheetId="91">'444'!$D$88</definedName>
    <definedName name="OSRRefD21_16x_0" localSheetId="92">'450'!$D$79</definedName>
    <definedName name="OSRRefD21_16x_0" localSheetId="73">'491'!$D$84:$D$88</definedName>
    <definedName name="OSRRefD21_16x_0" localSheetId="87">'492'!$D$90:$D$91</definedName>
    <definedName name="OSRRefD21_16x_0" localSheetId="39">'Div 2'!$D$79:$D$82</definedName>
    <definedName name="OSRRefD21_16x_0" localSheetId="47">'Div 3'!$D$183</definedName>
    <definedName name="OSRRefD21_16x_0" localSheetId="71">'Div 4'!$D$86:$D$87</definedName>
    <definedName name="OSRRefD21_16x_0" localSheetId="2">Summary!$D$214</definedName>
    <definedName name="OSRRefD21_16x_1" localSheetId="48">'300'!$E$179:$E$182</definedName>
    <definedName name="OSRRefD21_16x_1" localSheetId="49">'300 &amp; 317'!$E$203:$E$206</definedName>
    <definedName name="OSRRefD21_16x_1" localSheetId="50">'301'!$E$75:$E$77</definedName>
    <definedName name="OSRRefD21_16x_1" localSheetId="64">'310'!$E$87:$E$88</definedName>
    <definedName name="OSRRefD21_16x_1" localSheetId="72">'310 &amp; 491'!$E$91:$E$95</definedName>
    <definedName name="OSRRefD21_16x_1" localSheetId="58">'315'!$E$141:$E$142</definedName>
    <definedName name="OSRRefD21_16x_1" localSheetId="59">'326'!$E$106:$E$107</definedName>
    <definedName name="OSRRefD21_16x_1" localSheetId="57">'331'!$E$139:$E$140</definedName>
    <definedName name="OSRRefD21_16x_1" localSheetId="80">'415'!$E$86</definedName>
    <definedName name="OSRRefD21_16x_1" localSheetId="91">'444'!$E$88</definedName>
    <definedName name="OSRRefD21_16x_1" localSheetId="92">'450'!$E$79</definedName>
    <definedName name="OSRRefD21_16x_1" localSheetId="73">'491'!$E$84:$E$88</definedName>
    <definedName name="OSRRefD21_16x_1" localSheetId="87">'492'!$E$90:$E$91</definedName>
    <definedName name="OSRRefD21_16x_1" localSheetId="39">'Div 2'!$E$79:$E$82</definedName>
    <definedName name="OSRRefD21_16x_1" localSheetId="47">'Div 3'!$E$183</definedName>
    <definedName name="OSRRefD21_16x_1" localSheetId="71">'Div 4'!$E$86:$E$87</definedName>
    <definedName name="OSRRefD21_16x_1" localSheetId="2">Summary!$E$214</definedName>
    <definedName name="OSRRefD21_16x_2" localSheetId="48">'300'!$F$179:$F$182</definedName>
    <definedName name="OSRRefD21_16x_2" localSheetId="49">'300 &amp; 317'!$F$203:$F$206</definedName>
    <definedName name="OSRRefD21_16x_2" localSheetId="50">'301'!$F$75:$F$77</definedName>
    <definedName name="OSRRefD21_16x_2" localSheetId="64">'310'!$F$87:$F$88</definedName>
    <definedName name="OSRRefD21_16x_2" localSheetId="72">'310 &amp; 491'!$F$91:$F$95</definedName>
    <definedName name="OSRRefD21_16x_2" localSheetId="58">'315'!$F$141:$F$142</definedName>
    <definedName name="OSRRefD21_16x_2" localSheetId="59">'326'!$F$106:$F$107</definedName>
    <definedName name="OSRRefD21_16x_2" localSheetId="57">'331'!$F$139:$F$140</definedName>
    <definedName name="OSRRefD21_16x_2" localSheetId="80">'415'!$F$86</definedName>
    <definedName name="OSRRefD21_16x_2" localSheetId="91">'444'!$F$88</definedName>
    <definedName name="OSRRefD21_16x_2" localSheetId="92">'450'!$F$79</definedName>
    <definedName name="OSRRefD21_16x_2" localSheetId="73">'491'!$F$84:$F$88</definedName>
    <definedName name="OSRRefD21_16x_2" localSheetId="87">'492'!$F$90:$F$91</definedName>
    <definedName name="OSRRefD21_16x_2" localSheetId="39">'Div 2'!$F$79:$F$82</definedName>
    <definedName name="OSRRefD21_16x_2" localSheetId="47">'Div 3'!$F$183</definedName>
    <definedName name="OSRRefD21_16x_2" localSheetId="71">'Div 4'!$F$86:$F$87</definedName>
    <definedName name="OSRRefD21_16x_2" localSheetId="2">Summary!$F$214</definedName>
    <definedName name="OSRRefD21_16x_3" localSheetId="48">'300'!$G$179:$G$182</definedName>
    <definedName name="OSRRefD21_16x_3" localSheetId="49">'300 &amp; 317'!$G$203:$G$206</definedName>
    <definedName name="OSRRefD21_16x_3" localSheetId="50">'301'!$G$75:$G$77</definedName>
    <definedName name="OSRRefD21_16x_3" localSheetId="64">'310'!$G$87:$G$88</definedName>
    <definedName name="OSRRefD21_16x_3" localSheetId="72">'310 &amp; 491'!$G$91:$G$95</definedName>
    <definedName name="OSRRefD21_16x_3" localSheetId="58">'315'!$G$141:$G$142</definedName>
    <definedName name="OSRRefD21_16x_3" localSheetId="59">'326'!$G$106:$G$107</definedName>
    <definedName name="OSRRefD21_16x_3" localSheetId="57">'331'!$G$139:$G$140</definedName>
    <definedName name="OSRRefD21_16x_3" localSheetId="80">'415'!$G$86</definedName>
    <definedName name="OSRRefD21_16x_3" localSheetId="91">'444'!$G$88</definedName>
    <definedName name="OSRRefD21_16x_3" localSheetId="92">'450'!$G$79</definedName>
    <definedName name="OSRRefD21_16x_3" localSheetId="73">'491'!$G$84:$G$88</definedName>
    <definedName name="OSRRefD21_16x_3" localSheetId="87">'492'!$G$90:$G$91</definedName>
    <definedName name="OSRRefD21_16x_3" localSheetId="39">'Div 2'!$G$79:$G$82</definedName>
    <definedName name="OSRRefD21_16x_3" localSheetId="47">'Div 3'!$G$183</definedName>
    <definedName name="OSRRefD21_16x_3" localSheetId="71">'Div 4'!$G$86:$G$87</definedName>
    <definedName name="OSRRefD21_16x_3" localSheetId="2">Summary!$G$214</definedName>
    <definedName name="OSRRefD21_16x_4" localSheetId="48">'300'!$H$179:$H$182</definedName>
    <definedName name="OSRRefD21_16x_4" localSheetId="49">'300 &amp; 317'!$H$203:$H$206</definedName>
    <definedName name="OSRRefD21_16x_4" localSheetId="50">'301'!$H$75:$H$77</definedName>
    <definedName name="OSRRefD21_16x_4" localSheetId="64">'310'!$H$87:$H$88</definedName>
    <definedName name="OSRRefD21_16x_4" localSheetId="72">'310 &amp; 491'!$H$91:$H$95</definedName>
    <definedName name="OSRRefD21_16x_4" localSheetId="58">'315'!$H$141:$H$142</definedName>
    <definedName name="OSRRefD21_16x_4" localSheetId="59">'326'!$H$106:$H$107</definedName>
    <definedName name="OSRRefD21_16x_4" localSheetId="57">'331'!$H$139:$H$140</definedName>
    <definedName name="OSRRefD21_16x_4" localSheetId="80">'415'!$H$86</definedName>
    <definedName name="OSRRefD21_16x_4" localSheetId="91">'444'!$H$88</definedName>
    <definedName name="OSRRefD21_16x_4" localSheetId="92">'450'!$H$79</definedName>
    <definedName name="OSRRefD21_16x_4" localSheetId="73">'491'!$H$84:$H$88</definedName>
    <definedName name="OSRRefD21_16x_4" localSheetId="87">'492'!$H$90:$H$91</definedName>
    <definedName name="OSRRefD21_16x_4" localSheetId="39">'Div 2'!$H$79:$H$82</definedName>
    <definedName name="OSRRefD21_16x_4" localSheetId="47">'Div 3'!$H$183</definedName>
    <definedName name="OSRRefD21_16x_4" localSheetId="71">'Div 4'!$H$86:$H$87</definedName>
    <definedName name="OSRRefD21_16x_4" localSheetId="2">Summary!$H$214</definedName>
    <definedName name="OSRRefD21_16x_5" localSheetId="48">'300'!$I$179:$I$182</definedName>
    <definedName name="OSRRefD21_16x_5" localSheetId="49">'300 &amp; 317'!$I$203:$I$206</definedName>
    <definedName name="OSRRefD21_16x_5" localSheetId="50">'301'!$I$75:$I$77</definedName>
    <definedName name="OSRRefD21_16x_5" localSheetId="64">'310'!$I$87:$I$88</definedName>
    <definedName name="OSRRefD21_16x_5" localSheetId="72">'310 &amp; 491'!$I$91:$I$95</definedName>
    <definedName name="OSRRefD21_16x_5" localSheetId="58">'315'!$I$141:$I$142</definedName>
    <definedName name="OSRRefD21_16x_5" localSheetId="59">'326'!$I$106:$I$107</definedName>
    <definedName name="OSRRefD21_16x_5" localSheetId="57">'331'!$I$139:$I$140</definedName>
    <definedName name="OSRRefD21_16x_5" localSheetId="80">'415'!$I$86</definedName>
    <definedName name="OSRRefD21_16x_5" localSheetId="91">'444'!$I$88</definedName>
    <definedName name="OSRRefD21_16x_5" localSheetId="92">'450'!$I$79</definedName>
    <definedName name="OSRRefD21_16x_5" localSheetId="73">'491'!$I$84:$I$88</definedName>
    <definedName name="OSRRefD21_16x_5" localSheetId="87">'492'!$I$90:$I$91</definedName>
    <definedName name="OSRRefD21_16x_5" localSheetId="39">'Div 2'!$I$79:$I$82</definedName>
    <definedName name="OSRRefD21_16x_5" localSheetId="47">'Div 3'!$I$183</definedName>
    <definedName name="OSRRefD21_16x_5" localSheetId="71">'Div 4'!$I$86:$I$87</definedName>
    <definedName name="OSRRefD21_16x_5" localSheetId="2">Summary!$I$214</definedName>
    <definedName name="OSRRefD21_16x_6" localSheetId="48">'300'!$J$179:$J$182</definedName>
    <definedName name="OSRRefD21_16x_6" localSheetId="49">'300 &amp; 317'!$J$203:$J$206</definedName>
    <definedName name="OSRRefD21_16x_6" localSheetId="50">'301'!$J$75:$J$77</definedName>
    <definedName name="OSRRefD21_16x_6" localSheetId="64">'310'!$J$87:$J$88</definedName>
    <definedName name="OSRRefD21_16x_6" localSheetId="72">'310 &amp; 491'!$J$91:$J$95</definedName>
    <definedName name="OSRRefD21_16x_6" localSheetId="58">'315'!$J$141:$J$142</definedName>
    <definedName name="OSRRefD21_16x_6" localSheetId="59">'326'!$J$106:$J$107</definedName>
    <definedName name="OSRRefD21_16x_6" localSheetId="57">'331'!$J$139:$J$140</definedName>
    <definedName name="OSRRefD21_16x_6" localSheetId="80">'415'!$J$86</definedName>
    <definedName name="OSRRefD21_16x_6" localSheetId="91">'444'!$J$88</definedName>
    <definedName name="OSRRefD21_16x_6" localSheetId="92">'450'!$J$79</definedName>
    <definedName name="OSRRefD21_16x_6" localSheetId="73">'491'!$J$84:$J$88</definedName>
    <definedName name="OSRRefD21_16x_6" localSheetId="87">'492'!$J$90:$J$91</definedName>
    <definedName name="OSRRefD21_16x_6" localSheetId="39">'Div 2'!$J$79:$J$82</definedName>
    <definedName name="OSRRefD21_16x_6" localSheetId="47">'Div 3'!$J$183</definedName>
    <definedName name="OSRRefD21_16x_6" localSheetId="71">'Div 4'!$J$86:$J$87</definedName>
    <definedName name="OSRRefD21_16x_6" localSheetId="2">Summary!$J$214</definedName>
    <definedName name="OSRRefD21_16x_7" localSheetId="48">'300'!$K$179:$K$182</definedName>
    <definedName name="OSRRefD21_16x_7" localSheetId="49">'300 &amp; 317'!$K$203:$K$206</definedName>
    <definedName name="OSRRefD21_16x_7" localSheetId="50">'301'!$K$75:$K$77</definedName>
    <definedName name="OSRRefD21_16x_7" localSheetId="64">'310'!$K$87:$K$88</definedName>
    <definedName name="OSRRefD21_16x_7" localSheetId="72">'310 &amp; 491'!$K$91:$K$95</definedName>
    <definedName name="OSRRefD21_16x_7" localSheetId="58">'315'!$K$141:$K$142</definedName>
    <definedName name="OSRRefD21_16x_7" localSheetId="59">'326'!$K$106:$K$107</definedName>
    <definedName name="OSRRefD21_16x_7" localSheetId="57">'331'!$K$139:$K$140</definedName>
    <definedName name="OSRRefD21_16x_7" localSheetId="80">'415'!$K$86</definedName>
    <definedName name="OSRRefD21_16x_7" localSheetId="91">'444'!$K$88</definedName>
    <definedName name="OSRRefD21_16x_7" localSheetId="92">'450'!$K$79</definedName>
    <definedName name="OSRRefD21_16x_7" localSheetId="73">'491'!$K$84:$K$88</definedName>
    <definedName name="OSRRefD21_16x_7" localSheetId="87">'492'!$K$90:$K$91</definedName>
    <definedName name="OSRRefD21_16x_7" localSheetId="39">'Div 2'!$K$79:$K$82</definedName>
    <definedName name="OSRRefD21_16x_7" localSheetId="47">'Div 3'!$K$183</definedName>
    <definedName name="OSRRefD21_16x_7" localSheetId="71">'Div 4'!$K$86:$K$87</definedName>
    <definedName name="OSRRefD21_16x_7" localSheetId="2">Summary!$K$214</definedName>
    <definedName name="OSRRefD21_16x_8" localSheetId="48">'300'!$L$179:$L$182</definedName>
    <definedName name="OSRRefD21_16x_8" localSheetId="49">'300 &amp; 317'!$L$203:$L$206</definedName>
    <definedName name="OSRRefD21_16x_8" localSheetId="50">'301'!$L$75:$L$77</definedName>
    <definedName name="OSRRefD21_16x_8" localSheetId="64">'310'!$L$87:$L$88</definedName>
    <definedName name="OSRRefD21_16x_8" localSheetId="72">'310 &amp; 491'!$L$91:$L$95</definedName>
    <definedName name="OSRRefD21_16x_8" localSheetId="58">'315'!$L$141:$L$142</definedName>
    <definedName name="OSRRefD21_16x_8" localSheetId="59">'326'!$L$106:$L$107</definedName>
    <definedName name="OSRRefD21_16x_8" localSheetId="57">'331'!$L$139:$L$140</definedName>
    <definedName name="OSRRefD21_16x_8" localSheetId="80">'415'!$L$86</definedName>
    <definedName name="OSRRefD21_16x_8" localSheetId="91">'444'!$L$88</definedName>
    <definedName name="OSRRefD21_16x_8" localSheetId="92">'450'!$L$79</definedName>
    <definedName name="OSRRefD21_16x_8" localSheetId="73">'491'!$L$84:$L$88</definedName>
    <definedName name="OSRRefD21_16x_8" localSheetId="87">'492'!$L$90:$L$91</definedName>
    <definedName name="OSRRefD21_16x_8" localSheetId="39">'Div 2'!$L$79:$L$82</definedName>
    <definedName name="OSRRefD21_16x_8" localSheetId="47">'Div 3'!$L$183</definedName>
    <definedName name="OSRRefD21_16x_8" localSheetId="71">'Div 4'!$L$86:$L$87</definedName>
    <definedName name="OSRRefD21_16x_8" localSheetId="2">Summary!$L$214</definedName>
    <definedName name="OSRRefD21_16x_9" localSheetId="48">'300'!$M$179:$M$182</definedName>
    <definedName name="OSRRefD21_16x_9" localSheetId="49">'300 &amp; 317'!$M$203:$M$206</definedName>
    <definedName name="OSRRefD21_16x_9" localSheetId="50">'301'!$M$75:$M$77</definedName>
    <definedName name="OSRRefD21_16x_9" localSheetId="64">'310'!$M$87:$M$88</definedName>
    <definedName name="OSRRefD21_16x_9" localSheetId="72">'310 &amp; 491'!$M$91:$M$95</definedName>
    <definedName name="OSRRefD21_16x_9" localSheetId="58">'315'!$M$141:$M$142</definedName>
    <definedName name="OSRRefD21_16x_9" localSheetId="59">'326'!$M$106:$M$107</definedName>
    <definedName name="OSRRefD21_16x_9" localSheetId="57">'331'!$M$139:$M$140</definedName>
    <definedName name="OSRRefD21_16x_9" localSheetId="80">'415'!$M$86</definedName>
    <definedName name="OSRRefD21_16x_9" localSheetId="91">'444'!$M$88</definedName>
    <definedName name="OSRRefD21_16x_9" localSheetId="92">'450'!$M$79</definedName>
    <definedName name="OSRRefD21_16x_9" localSheetId="73">'491'!$M$84:$M$88</definedName>
    <definedName name="OSRRefD21_16x_9" localSheetId="87">'492'!$M$90:$M$91</definedName>
    <definedName name="OSRRefD21_16x_9" localSheetId="39">'Div 2'!$M$79:$M$82</definedName>
    <definedName name="OSRRefD21_16x_9" localSheetId="47">'Div 3'!$M$183</definedName>
    <definedName name="OSRRefD21_16x_9" localSheetId="71">'Div 4'!$M$86:$M$87</definedName>
    <definedName name="OSRRefD21_16x_9" localSheetId="2">Summary!$M$214</definedName>
    <definedName name="OSRRefD21_17_0x" localSheetId="48">'300'!$D$184:$M$184</definedName>
    <definedName name="OSRRefD21_17_0x" localSheetId="49">'300 &amp; 317'!$D$208:$M$208</definedName>
    <definedName name="OSRRefD21_17_0x" localSheetId="50">'301'!$D$79:$M$79</definedName>
    <definedName name="OSRRefD21_17_0x" localSheetId="64">'310'!$D$90:$M$90</definedName>
    <definedName name="OSRRefD21_17_0x" localSheetId="72">'310 &amp; 491'!$D$97:$M$97</definedName>
    <definedName name="OSRRefD21_17_0x" localSheetId="59">'326'!$D$109:$M$109</definedName>
    <definedName name="OSRRefD21_17_0x" localSheetId="57">'331'!$D$142:$M$142</definedName>
    <definedName name="OSRRefD21_17_0x" localSheetId="80">'415'!$D$88:$M$88</definedName>
    <definedName name="OSRRefD21_17_0x" localSheetId="91">'444'!$D$90:$M$90</definedName>
    <definedName name="OSRRefD21_17_0x" localSheetId="73">'491'!$D$90:$M$90</definedName>
    <definedName name="OSRRefD21_17_0x" localSheetId="87">'492'!$D$93:$M$93</definedName>
    <definedName name="OSRRefD21_17_0x" localSheetId="39">'Div 2'!$D$84:$M$84</definedName>
    <definedName name="OSRRefD21_17_0x" localSheetId="47">'Div 3'!$D$185:$M$185</definedName>
    <definedName name="OSRRefD21_17_0x" localSheetId="71">'Div 4'!$D$89:$M$89</definedName>
    <definedName name="OSRRefD21_17_0x" localSheetId="2">Summary!$D$216:$M$216</definedName>
    <definedName name="OSRRefD21_17_1x" localSheetId="48">'300'!$D$185:$M$185</definedName>
    <definedName name="OSRRefD21_17_1x" localSheetId="49">'300 &amp; 317'!$D$209:$M$209</definedName>
    <definedName name="OSRRefD21_17_1x" localSheetId="57">'331'!$D$143:$M$143</definedName>
    <definedName name="OSRRefD21_17_1x" localSheetId="39">'Div 2'!$D$85:$M$85</definedName>
    <definedName name="OSRRefD21_17_1x" localSheetId="47">'Div 3'!$D$186:$M$186</definedName>
    <definedName name="OSRRefD21_17_1x" localSheetId="71">'Div 4'!$D$90:$M$90</definedName>
    <definedName name="OSRRefD21_17_2x" localSheetId="48">'300'!$D$186:$M$186</definedName>
    <definedName name="OSRRefD21_17_2x" localSheetId="49">'300 &amp; 317'!$D$210:$M$210</definedName>
    <definedName name="OSRRefD21_17_2x" localSheetId="57">'331'!$D$144:$M$144</definedName>
    <definedName name="OSRRefD21_17_2x" localSheetId="47">'Div 3'!$D$187:$M$187</definedName>
    <definedName name="OSRRefD21_17_2x" localSheetId="71">'Div 4'!$D$91:$M$91</definedName>
    <definedName name="OSRRefD21_17_3x" localSheetId="48">'300'!$D$187:$M$187</definedName>
    <definedName name="OSRRefD21_17_3x" localSheetId="49">'300 &amp; 317'!$D$211:$M$211</definedName>
    <definedName name="OSRRefD21_17_3x" localSheetId="57">'331'!$D$145:$M$145</definedName>
    <definedName name="OSRRefD21_17_3x" localSheetId="47">'Div 3'!$D$188:$M$188</definedName>
    <definedName name="OSRRefD21_17_3x" localSheetId="71">'Div 4'!$D$92:$M$92</definedName>
    <definedName name="OSRRefD21_17_4x" localSheetId="57">'331'!$D$146:$M$146</definedName>
    <definedName name="OSRRefD21_17_4x" localSheetId="71">'Div 4'!$D$93:$M$93</definedName>
    <definedName name="OSRRefD21_17_5x" localSheetId="57">'331'!$D$147:$M$147</definedName>
    <definedName name="OSRRefD21_17_6x" localSheetId="57">'331'!$D$148:$M$148</definedName>
    <definedName name="OSRRefD21_17_7x" localSheetId="57">'331'!$D$149:$M$149</definedName>
    <definedName name="OSRRefD21_17x_0" localSheetId="48">'300'!$D$184:$D$187</definedName>
    <definedName name="OSRRefD21_17x_0" localSheetId="49">'300 &amp; 317'!$D$208:$D$211</definedName>
    <definedName name="OSRRefD21_17x_0" localSheetId="50">'301'!$D$79</definedName>
    <definedName name="OSRRefD21_17x_0" localSheetId="64">'310'!$D$90</definedName>
    <definedName name="OSRRefD21_17x_0" localSheetId="72">'310 &amp; 491'!$D$97</definedName>
    <definedName name="OSRRefD21_17x_0" localSheetId="59">'326'!$D$109</definedName>
    <definedName name="OSRRefD21_17x_0" localSheetId="57">'331'!$D$142:$D$149</definedName>
    <definedName name="OSRRefD21_17x_0" localSheetId="80">'415'!$D$88</definedName>
    <definedName name="OSRRefD21_17x_0" localSheetId="91">'444'!$D$90</definedName>
    <definedName name="OSRRefD21_17x_0" localSheetId="73">'491'!$D$90</definedName>
    <definedName name="OSRRefD21_17x_0" localSheetId="87">'492'!$D$93</definedName>
    <definedName name="OSRRefD21_17x_0" localSheetId="39">'Div 2'!$D$84:$D$85</definedName>
    <definedName name="OSRRefD21_17x_0" localSheetId="47">'Div 3'!$D$185:$D$188</definedName>
    <definedName name="OSRRefD21_17x_0" localSheetId="71">'Div 4'!$D$89:$D$93</definedName>
    <definedName name="OSRRefD21_17x_0" localSheetId="2">Summary!$D$216</definedName>
    <definedName name="OSRRefD21_17x_1" localSheetId="48">'300'!$E$184:$E$187</definedName>
    <definedName name="OSRRefD21_17x_1" localSheetId="49">'300 &amp; 317'!$E$208:$E$211</definedName>
    <definedName name="OSRRefD21_17x_1" localSheetId="50">'301'!$E$79</definedName>
    <definedName name="OSRRefD21_17x_1" localSheetId="64">'310'!$E$90</definedName>
    <definedName name="OSRRefD21_17x_1" localSheetId="72">'310 &amp; 491'!$E$97</definedName>
    <definedName name="OSRRefD21_17x_1" localSheetId="59">'326'!$E$109</definedName>
    <definedName name="OSRRefD21_17x_1" localSheetId="57">'331'!$E$142:$E$149</definedName>
    <definedName name="OSRRefD21_17x_1" localSheetId="80">'415'!$E$88</definedName>
    <definedName name="OSRRefD21_17x_1" localSheetId="91">'444'!$E$90</definedName>
    <definedName name="OSRRefD21_17x_1" localSheetId="73">'491'!$E$90</definedName>
    <definedName name="OSRRefD21_17x_1" localSheetId="87">'492'!$E$93</definedName>
    <definedName name="OSRRefD21_17x_1" localSheetId="39">'Div 2'!$E$84:$E$85</definedName>
    <definedName name="OSRRefD21_17x_1" localSheetId="47">'Div 3'!$E$185:$E$188</definedName>
    <definedName name="OSRRefD21_17x_1" localSheetId="71">'Div 4'!$E$89:$E$93</definedName>
    <definedName name="OSRRefD21_17x_1" localSheetId="2">Summary!$E$216</definedName>
    <definedName name="OSRRefD21_17x_2" localSheetId="48">'300'!$F$184:$F$187</definedName>
    <definedName name="OSRRefD21_17x_2" localSheetId="49">'300 &amp; 317'!$F$208:$F$211</definedName>
    <definedName name="OSRRefD21_17x_2" localSheetId="50">'301'!$F$79</definedName>
    <definedName name="OSRRefD21_17x_2" localSheetId="64">'310'!$F$90</definedName>
    <definedName name="OSRRefD21_17x_2" localSheetId="72">'310 &amp; 491'!$F$97</definedName>
    <definedName name="OSRRefD21_17x_2" localSheetId="59">'326'!$F$109</definedName>
    <definedName name="OSRRefD21_17x_2" localSheetId="57">'331'!$F$142:$F$149</definedName>
    <definedName name="OSRRefD21_17x_2" localSheetId="80">'415'!$F$88</definedName>
    <definedName name="OSRRefD21_17x_2" localSheetId="91">'444'!$F$90</definedName>
    <definedName name="OSRRefD21_17x_2" localSheetId="73">'491'!$F$90</definedName>
    <definedName name="OSRRefD21_17x_2" localSheetId="87">'492'!$F$93</definedName>
    <definedName name="OSRRefD21_17x_2" localSheetId="39">'Div 2'!$F$84:$F$85</definedName>
    <definedName name="OSRRefD21_17x_2" localSheetId="47">'Div 3'!$F$185:$F$188</definedName>
    <definedName name="OSRRefD21_17x_2" localSheetId="71">'Div 4'!$F$89:$F$93</definedName>
    <definedName name="OSRRefD21_17x_2" localSheetId="2">Summary!$F$216</definedName>
    <definedName name="OSRRefD21_17x_3" localSheetId="48">'300'!$G$184:$G$187</definedName>
    <definedName name="OSRRefD21_17x_3" localSheetId="49">'300 &amp; 317'!$G$208:$G$211</definedName>
    <definedName name="OSRRefD21_17x_3" localSheetId="50">'301'!$G$79</definedName>
    <definedName name="OSRRefD21_17x_3" localSheetId="64">'310'!$G$90</definedName>
    <definedName name="OSRRefD21_17x_3" localSheetId="72">'310 &amp; 491'!$G$97</definedName>
    <definedName name="OSRRefD21_17x_3" localSheetId="59">'326'!$G$109</definedName>
    <definedName name="OSRRefD21_17x_3" localSheetId="57">'331'!$G$142:$G$149</definedName>
    <definedName name="OSRRefD21_17x_3" localSheetId="80">'415'!$G$88</definedName>
    <definedName name="OSRRefD21_17x_3" localSheetId="91">'444'!$G$90</definedName>
    <definedName name="OSRRefD21_17x_3" localSheetId="73">'491'!$G$90</definedName>
    <definedName name="OSRRefD21_17x_3" localSheetId="87">'492'!$G$93</definedName>
    <definedName name="OSRRefD21_17x_3" localSheetId="39">'Div 2'!$G$84:$G$85</definedName>
    <definedName name="OSRRefD21_17x_3" localSheetId="47">'Div 3'!$G$185:$G$188</definedName>
    <definedName name="OSRRefD21_17x_3" localSheetId="71">'Div 4'!$G$89:$G$93</definedName>
    <definedName name="OSRRefD21_17x_3" localSheetId="2">Summary!$G$216</definedName>
    <definedName name="OSRRefD21_17x_4" localSheetId="48">'300'!$H$184:$H$187</definedName>
    <definedName name="OSRRefD21_17x_4" localSheetId="49">'300 &amp; 317'!$H$208:$H$211</definedName>
    <definedName name="OSRRefD21_17x_4" localSheetId="50">'301'!$H$79</definedName>
    <definedName name="OSRRefD21_17x_4" localSheetId="64">'310'!$H$90</definedName>
    <definedName name="OSRRefD21_17x_4" localSheetId="72">'310 &amp; 491'!$H$97</definedName>
    <definedName name="OSRRefD21_17x_4" localSheetId="59">'326'!$H$109</definedName>
    <definedName name="OSRRefD21_17x_4" localSheetId="57">'331'!$H$142:$H$149</definedName>
    <definedName name="OSRRefD21_17x_4" localSheetId="80">'415'!$H$88</definedName>
    <definedName name="OSRRefD21_17x_4" localSheetId="91">'444'!$H$90</definedName>
    <definedName name="OSRRefD21_17x_4" localSheetId="73">'491'!$H$90</definedName>
    <definedName name="OSRRefD21_17x_4" localSheetId="87">'492'!$H$93</definedName>
    <definedName name="OSRRefD21_17x_4" localSheetId="39">'Div 2'!$H$84:$H$85</definedName>
    <definedName name="OSRRefD21_17x_4" localSheetId="47">'Div 3'!$H$185:$H$188</definedName>
    <definedName name="OSRRefD21_17x_4" localSheetId="71">'Div 4'!$H$89:$H$93</definedName>
    <definedName name="OSRRefD21_17x_4" localSheetId="2">Summary!$H$216</definedName>
    <definedName name="OSRRefD21_17x_5" localSheetId="48">'300'!$I$184:$I$187</definedName>
    <definedName name="OSRRefD21_17x_5" localSheetId="49">'300 &amp; 317'!$I$208:$I$211</definedName>
    <definedName name="OSRRefD21_17x_5" localSheetId="50">'301'!$I$79</definedName>
    <definedName name="OSRRefD21_17x_5" localSheetId="64">'310'!$I$90</definedName>
    <definedName name="OSRRefD21_17x_5" localSheetId="72">'310 &amp; 491'!$I$97</definedName>
    <definedName name="OSRRefD21_17x_5" localSheetId="59">'326'!$I$109</definedName>
    <definedName name="OSRRefD21_17x_5" localSheetId="57">'331'!$I$142:$I$149</definedName>
    <definedName name="OSRRefD21_17x_5" localSheetId="80">'415'!$I$88</definedName>
    <definedName name="OSRRefD21_17x_5" localSheetId="91">'444'!$I$90</definedName>
    <definedName name="OSRRefD21_17x_5" localSheetId="73">'491'!$I$90</definedName>
    <definedName name="OSRRefD21_17x_5" localSheetId="87">'492'!$I$93</definedName>
    <definedName name="OSRRefD21_17x_5" localSheetId="39">'Div 2'!$I$84:$I$85</definedName>
    <definedName name="OSRRefD21_17x_5" localSheetId="47">'Div 3'!$I$185:$I$188</definedName>
    <definedName name="OSRRefD21_17x_5" localSheetId="71">'Div 4'!$I$89:$I$93</definedName>
    <definedName name="OSRRefD21_17x_5" localSheetId="2">Summary!$I$216</definedName>
    <definedName name="OSRRefD21_17x_6" localSheetId="48">'300'!$J$184:$J$187</definedName>
    <definedName name="OSRRefD21_17x_6" localSheetId="49">'300 &amp; 317'!$J$208:$J$211</definedName>
    <definedName name="OSRRefD21_17x_6" localSheetId="50">'301'!$J$79</definedName>
    <definedName name="OSRRefD21_17x_6" localSheetId="64">'310'!$J$90</definedName>
    <definedName name="OSRRefD21_17x_6" localSheetId="72">'310 &amp; 491'!$J$97</definedName>
    <definedName name="OSRRefD21_17x_6" localSheetId="59">'326'!$J$109</definedName>
    <definedName name="OSRRefD21_17x_6" localSheetId="57">'331'!$J$142:$J$149</definedName>
    <definedName name="OSRRefD21_17x_6" localSheetId="80">'415'!$J$88</definedName>
    <definedName name="OSRRefD21_17x_6" localSheetId="91">'444'!$J$90</definedName>
    <definedName name="OSRRefD21_17x_6" localSheetId="73">'491'!$J$90</definedName>
    <definedName name="OSRRefD21_17x_6" localSheetId="87">'492'!$J$93</definedName>
    <definedName name="OSRRefD21_17x_6" localSheetId="39">'Div 2'!$J$84:$J$85</definedName>
    <definedName name="OSRRefD21_17x_6" localSheetId="47">'Div 3'!$J$185:$J$188</definedName>
    <definedName name="OSRRefD21_17x_6" localSheetId="71">'Div 4'!$J$89:$J$93</definedName>
    <definedName name="OSRRefD21_17x_6" localSheetId="2">Summary!$J$216</definedName>
    <definedName name="OSRRefD21_17x_7" localSheetId="48">'300'!$K$184:$K$187</definedName>
    <definedName name="OSRRefD21_17x_7" localSheetId="49">'300 &amp; 317'!$K$208:$K$211</definedName>
    <definedName name="OSRRefD21_17x_7" localSheetId="50">'301'!$K$79</definedName>
    <definedName name="OSRRefD21_17x_7" localSheetId="64">'310'!$K$90</definedName>
    <definedName name="OSRRefD21_17x_7" localSheetId="72">'310 &amp; 491'!$K$97</definedName>
    <definedName name="OSRRefD21_17x_7" localSheetId="59">'326'!$K$109</definedName>
    <definedName name="OSRRefD21_17x_7" localSheetId="57">'331'!$K$142:$K$149</definedName>
    <definedName name="OSRRefD21_17x_7" localSheetId="80">'415'!$K$88</definedName>
    <definedName name="OSRRefD21_17x_7" localSheetId="91">'444'!$K$90</definedName>
    <definedName name="OSRRefD21_17x_7" localSheetId="73">'491'!$K$90</definedName>
    <definedName name="OSRRefD21_17x_7" localSheetId="87">'492'!$K$93</definedName>
    <definedName name="OSRRefD21_17x_7" localSheetId="39">'Div 2'!$K$84:$K$85</definedName>
    <definedName name="OSRRefD21_17x_7" localSheetId="47">'Div 3'!$K$185:$K$188</definedName>
    <definedName name="OSRRefD21_17x_7" localSheetId="71">'Div 4'!$K$89:$K$93</definedName>
    <definedName name="OSRRefD21_17x_7" localSheetId="2">Summary!$K$216</definedName>
    <definedName name="OSRRefD21_17x_8" localSheetId="48">'300'!$L$184:$L$187</definedName>
    <definedName name="OSRRefD21_17x_8" localSheetId="49">'300 &amp; 317'!$L$208:$L$211</definedName>
    <definedName name="OSRRefD21_17x_8" localSheetId="50">'301'!$L$79</definedName>
    <definedName name="OSRRefD21_17x_8" localSheetId="64">'310'!$L$90</definedName>
    <definedName name="OSRRefD21_17x_8" localSheetId="72">'310 &amp; 491'!$L$97</definedName>
    <definedName name="OSRRefD21_17x_8" localSheetId="59">'326'!$L$109</definedName>
    <definedName name="OSRRefD21_17x_8" localSheetId="57">'331'!$L$142:$L$149</definedName>
    <definedName name="OSRRefD21_17x_8" localSheetId="80">'415'!$L$88</definedName>
    <definedName name="OSRRefD21_17x_8" localSheetId="91">'444'!$L$90</definedName>
    <definedName name="OSRRefD21_17x_8" localSheetId="73">'491'!$L$90</definedName>
    <definedName name="OSRRefD21_17x_8" localSheetId="87">'492'!$L$93</definedName>
    <definedName name="OSRRefD21_17x_8" localSheetId="39">'Div 2'!$L$84:$L$85</definedName>
    <definedName name="OSRRefD21_17x_8" localSheetId="47">'Div 3'!$L$185:$L$188</definedName>
    <definedName name="OSRRefD21_17x_8" localSheetId="71">'Div 4'!$L$89:$L$93</definedName>
    <definedName name="OSRRefD21_17x_8" localSheetId="2">Summary!$L$216</definedName>
    <definedName name="OSRRefD21_17x_9" localSheetId="48">'300'!$M$184:$M$187</definedName>
    <definedName name="OSRRefD21_17x_9" localSheetId="49">'300 &amp; 317'!$M$208:$M$211</definedName>
    <definedName name="OSRRefD21_17x_9" localSheetId="50">'301'!$M$79</definedName>
    <definedName name="OSRRefD21_17x_9" localSheetId="64">'310'!$M$90</definedName>
    <definedName name="OSRRefD21_17x_9" localSheetId="72">'310 &amp; 491'!$M$97</definedName>
    <definedName name="OSRRefD21_17x_9" localSheetId="59">'326'!$M$109</definedName>
    <definedName name="OSRRefD21_17x_9" localSheetId="57">'331'!$M$142:$M$149</definedName>
    <definedName name="OSRRefD21_17x_9" localSheetId="80">'415'!$M$88</definedName>
    <definedName name="OSRRefD21_17x_9" localSheetId="91">'444'!$M$90</definedName>
    <definedName name="OSRRefD21_17x_9" localSheetId="73">'491'!$M$90</definedName>
    <definedName name="OSRRefD21_17x_9" localSheetId="87">'492'!$M$93</definedName>
    <definedName name="OSRRefD21_17x_9" localSheetId="39">'Div 2'!$M$84:$M$85</definedName>
    <definedName name="OSRRefD21_17x_9" localSheetId="47">'Div 3'!$M$185:$M$188</definedName>
    <definedName name="OSRRefD21_17x_9" localSheetId="71">'Div 4'!$M$89:$M$93</definedName>
    <definedName name="OSRRefD21_17x_9" localSheetId="2">Summary!$M$216</definedName>
    <definedName name="OSRRefD21_18_0x" localSheetId="48">'300'!$D$189:$M$189</definedName>
    <definedName name="OSRRefD21_18_0x" localSheetId="49">'300 &amp; 317'!$D$213:$M$213</definedName>
    <definedName name="OSRRefD21_18_0x" localSheetId="50">'301'!$D$81:$M$81</definedName>
    <definedName name="OSRRefD21_18_0x" localSheetId="72">'310 &amp; 491'!$D$99:$M$99</definedName>
    <definedName name="OSRRefD21_18_0x" localSheetId="59">'326'!$D$111:$M$111</definedName>
    <definedName name="OSRRefD21_18_0x" localSheetId="57">'331'!$D$151:$M$151</definedName>
    <definedName name="OSRRefD21_18_0x" localSheetId="73">'491'!$D$92:$M$92</definedName>
    <definedName name="OSRRefD21_18_0x" localSheetId="87">'492'!$D$95:$M$95</definedName>
    <definedName name="OSRRefD21_18_0x" localSheetId="39">'Div 2'!$D$87:$M$87</definedName>
    <definedName name="OSRRefD21_18_0x" localSheetId="47">'Div 3'!$D$190:$M$190</definedName>
    <definedName name="OSRRefD21_18_0x" localSheetId="71">'Div 4'!$D$95:$M$95</definedName>
    <definedName name="OSRRefD21_18_0x" localSheetId="2">Summary!$D$218:$M$218</definedName>
    <definedName name="OSRRefD21_18_1x" localSheetId="48">'300'!$D$190:$M$190</definedName>
    <definedName name="OSRRefD21_18_1x" localSheetId="49">'300 &amp; 317'!$D$214:$M$214</definedName>
    <definedName name="OSRRefD21_18_1x" localSheetId="50">'301'!$D$82:$M$82</definedName>
    <definedName name="OSRRefD21_18_1x" localSheetId="72">'310 &amp; 491'!$D$100:$M$100</definedName>
    <definedName name="OSRRefD21_18_1x" localSheetId="59">'326'!$D$112:$M$112</definedName>
    <definedName name="OSRRefD21_18_1x" localSheetId="57">'331'!$D$152:$M$152</definedName>
    <definedName name="OSRRefD21_18_1x" localSheetId="73">'491'!$D$93:$M$93</definedName>
    <definedName name="OSRRefD21_18_1x" localSheetId="87">'492'!$D$96:$M$96</definedName>
    <definedName name="OSRRefD21_18_1x" localSheetId="47">'Div 3'!$D$191:$M$191</definedName>
    <definedName name="OSRRefD21_18_1x" localSheetId="71">'Div 4'!$D$96:$M$96</definedName>
    <definedName name="OSRRefD21_18_1x" localSheetId="2">Summary!$D$219:$M$219</definedName>
    <definedName name="OSRRefD21_18_2x" localSheetId="48">'300'!$D$191:$M$191</definedName>
    <definedName name="OSRRefD21_18_2x" localSheetId="49">'300 &amp; 317'!$D$215:$M$215</definedName>
    <definedName name="OSRRefD21_18_2x" localSheetId="50">'301'!$D$83:$M$83</definedName>
    <definedName name="OSRRefD21_18_2x" localSheetId="72">'310 &amp; 491'!$D$101:$M$101</definedName>
    <definedName name="OSRRefD21_18_2x" localSheetId="73">'491'!$D$94:$M$94</definedName>
    <definedName name="OSRRefD21_18_2x" localSheetId="47">'Div 3'!$D$192:$M$192</definedName>
    <definedName name="OSRRefD21_18_2x" localSheetId="2">Summary!$D$220:$M$220</definedName>
    <definedName name="OSRRefD21_18_3x" localSheetId="48">'300'!$D$192:$M$192</definedName>
    <definedName name="OSRRefD21_18_3x" localSheetId="49">'300 &amp; 317'!$D$216:$M$216</definedName>
    <definedName name="OSRRefD21_18_3x" localSheetId="50">'301'!$D$84:$M$84</definedName>
    <definedName name="OSRRefD21_18_3x" localSheetId="72">'310 &amp; 491'!$D$102:$M$102</definedName>
    <definedName name="OSRRefD21_18_3x" localSheetId="73">'491'!$D$95:$M$95</definedName>
    <definedName name="OSRRefD21_18_3x" localSheetId="47">'Div 3'!$D$193:$M$193</definedName>
    <definedName name="OSRRefD21_18_3x" localSheetId="2">Summary!$D$221:$M$221</definedName>
    <definedName name="OSRRefD21_18_4x" localSheetId="50">'301'!$D$85:$M$85</definedName>
    <definedName name="OSRRefD21_18_4x" localSheetId="72">'310 &amp; 491'!$D$103:$M$103</definedName>
    <definedName name="OSRRefD21_18_4x" localSheetId="73">'491'!$D$96:$M$96</definedName>
    <definedName name="OSRRefD21_18_5x" localSheetId="50">'301'!$D$86:$M$86</definedName>
    <definedName name="OSRRefD21_18_5x" localSheetId="72">'310 &amp; 491'!$D$104:$M$104</definedName>
    <definedName name="OSRRefD21_18_5x" localSheetId="73">'491'!$D$97:$M$97</definedName>
    <definedName name="OSRRefD21_18_6x" localSheetId="50">'301'!$D$87:$M$87</definedName>
    <definedName name="OSRRefD21_18_6x" localSheetId="72">'310 &amp; 491'!$D$105:$M$105</definedName>
    <definedName name="OSRRefD21_18_6x" localSheetId="73">'491'!$D$98:$M$98</definedName>
    <definedName name="OSRRefD21_18_7x" localSheetId="72">'310 &amp; 491'!$D$106:$M$106</definedName>
    <definedName name="OSRRefD21_18_7x" localSheetId="73">'491'!$D$99:$M$99</definedName>
    <definedName name="OSRRefD21_18_8x" localSheetId="72">'310 &amp; 491'!$D$107:$M$107</definedName>
    <definedName name="OSRRefD21_18_8x" localSheetId="73">'491'!$D$100:$M$100</definedName>
    <definedName name="OSRRefD21_18_9x" localSheetId="72">'310 &amp; 491'!$D$108:$M$108</definedName>
    <definedName name="OSRRefD21_18_9x" localSheetId="73">'491'!$D$101:$M$101</definedName>
    <definedName name="OSRRefD21_18x_0" localSheetId="48">'300'!$D$189:$D$192</definedName>
    <definedName name="OSRRefD21_18x_0" localSheetId="49">'300 &amp; 317'!$D$213:$D$216</definedName>
    <definedName name="OSRRefD21_18x_0" localSheetId="50">'301'!$D$81:$D$87</definedName>
    <definedName name="OSRRefD21_18x_0" localSheetId="72">'310 &amp; 491'!$D$99:$D$108</definedName>
    <definedName name="OSRRefD21_18x_0" localSheetId="59">'326'!$D$111:$D$112</definedName>
    <definedName name="OSRRefD21_18x_0" localSheetId="57">'331'!$D$151:$D$152</definedName>
    <definedName name="OSRRefD21_18x_0" localSheetId="73">'491'!$D$92:$D$101</definedName>
    <definedName name="OSRRefD21_18x_0" localSheetId="87">'492'!$D$95:$D$96</definedName>
    <definedName name="OSRRefD21_18x_0" localSheetId="39">'Div 2'!$D$87</definedName>
    <definedName name="OSRRefD21_18x_0" localSheetId="47">'Div 3'!$D$190:$D$193</definedName>
    <definedName name="OSRRefD21_18x_0" localSheetId="71">'Div 4'!$D$95:$D$96</definedName>
    <definedName name="OSRRefD21_18x_0" localSheetId="2">Summary!$D$218:$D$221</definedName>
    <definedName name="OSRRefD21_18x_1" localSheetId="48">'300'!$E$189:$E$192</definedName>
    <definedName name="OSRRefD21_18x_1" localSheetId="49">'300 &amp; 317'!$E$213:$E$216</definedName>
    <definedName name="OSRRefD21_18x_1" localSheetId="50">'301'!$E$81:$E$87</definedName>
    <definedName name="OSRRefD21_18x_1" localSheetId="72">'310 &amp; 491'!$E$99:$E$108</definedName>
    <definedName name="OSRRefD21_18x_1" localSheetId="59">'326'!$E$111:$E$112</definedName>
    <definedName name="OSRRefD21_18x_1" localSheetId="57">'331'!$E$151:$E$152</definedName>
    <definedName name="OSRRefD21_18x_1" localSheetId="73">'491'!$E$92:$E$101</definedName>
    <definedName name="OSRRefD21_18x_1" localSheetId="87">'492'!$E$95:$E$96</definedName>
    <definedName name="OSRRefD21_18x_1" localSheetId="39">'Div 2'!$E$87</definedName>
    <definedName name="OSRRefD21_18x_1" localSheetId="47">'Div 3'!$E$190:$E$193</definedName>
    <definedName name="OSRRefD21_18x_1" localSheetId="71">'Div 4'!$E$95:$E$96</definedName>
    <definedName name="OSRRefD21_18x_1" localSheetId="2">Summary!$E$218:$E$221</definedName>
    <definedName name="OSRRefD21_18x_2" localSheetId="48">'300'!$F$189:$F$192</definedName>
    <definedName name="OSRRefD21_18x_2" localSheetId="49">'300 &amp; 317'!$F$213:$F$216</definedName>
    <definedName name="OSRRefD21_18x_2" localSheetId="50">'301'!$F$81:$F$87</definedName>
    <definedName name="OSRRefD21_18x_2" localSheetId="72">'310 &amp; 491'!$F$99:$F$108</definedName>
    <definedName name="OSRRefD21_18x_2" localSheetId="59">'326'!$F$111:$F$112</definedName>
    <definedName name="OSRRefD21_18x_2" localSheetId="57">'331'!$F$151:$F$152</definedName>
    <definedName name="OSRRefD21_18x_2" localSheetId="73">'491'!$F$92:$F$101</definedName>
    <definedName name="OSRRefD21_18x_2" localSheetId="87">'492'!$F$95:$F$96</definedName>
    <definedName name="OSRRefD21_18x_2" localSheetId="39">'Div 2'!$F$87</definedName>
    <definedName name="OSRRefD21_18x_2" localSheetId="47">'Div 3'!$F$190:$F$193</definedName>
    <definedName name="OSRRefD21_18x_2" localSheetId="71">'Div 4'!$F$95:$F$96</definedName>
    <definedName name="OSRRefD21_18x_2" localSheetId="2">Summary!$F$218:$F$221</definedName>
    <definedName name="OSRRefD21_18x_3" localSheetId="48">'300'!$G$189:$G$192</definedName>
    <definedName name="OSRRefD21_18x_3" localSheetId="49">'300 &amp; 317'!$G$213:$G$216</definedName>
    <definedName name="OSRRefD21_18x_3" localSheetId="50">'301'!$G$81:$G$87</definedName>
    <definedName name="OSRRefD21_18x_3" localSheetId="72">'310 &amp; 491'!$G$99:$G$108</definedName>
    <definedName name="OSRRefD21_18x_3" localSheetId="59">'326'!$G$111:$G$112</definedName>
    <definedName name="OSRRefD21_18x_3" localSheetId="57">'331'!$G$151:$G$152</definedName>
    <definedName name="OSRRefD21_18x_3" localSheetId="73">'491'!$G$92:$G$101</definedName>
    <definedName name="OSRRefD21_18x_3" localSheetId="87">'492'!$G$95:$G$96</definedName>
    <definedName name="OSRRefD21_18x_3" localSheetId="39">'Div 2'!$G$87</definedName>
    <definedName name="OSRRefD21_18x_3" localSheetId="47">'Div 3'!$G$190:$G$193</definedName>
    <definedName name="OSRRefD21_18x_3" localSheetId="71">'Div 4'!$G$95:$G$96</definedName>
    <definedName name="OSRRefD21_18x_3" localSheetId="2">Summary!$G$218:$G$221</definedName>
    <definedName name="OSRRefD21_18x_4" localSheetId="48">'300'!$H$189:$H$192</definedName>
    <definedName name="OSRRefD21_18x_4" localSheetId="49">'300 &amp; 317'!$H$213:$H$216</definedName>
    <definedName name="OSRRefD21_18x_4" localSheetId="50">'301'!$H$81:$H$87</definedName>
    <definedName name="OSRRefD21_18x_4" localSheetId="72">'310 &amp; 491'!$H$99:$H$108</definedName>
    <definedName name="OSRRefD21_18x_4" localSheetId="59">'326'!$H$111:$H$112</definedName>
    <definedName name="OSRRefD21_18x_4" localSheetId="57">'331'!$H$151:$H$152</definedName>
    <definedName name="OSRRefD21_18x_4" localSheetId="73">'491'!$H$92:$H$101</definedName>
    <definedName name="OSRRefD21_18x_4" localSheetId="87">'492'!$H$95:$H$96</definedName>
    <definedName name="OSRRefD21_18x_4" localSheetId="39">'Div 2'!$H$87</definedName>
    <definedName name="OSRRefD21_18x_4" localSheetId="47">'Div 3'!$H$190:$H$193</definedName>
    <definedName name="OSRRefD21_18x_4" localSheetId="71">'Div 4'!$H$95:$H$96</definedName>
    <definedName name="OSRRefD21_18x_4" localSheetId="2">Summary!$H$218:$H$221</definedName>
    <definedName name="OSRRefD21_18x_5" localSheetId="48">'300'!$I$189:$I$192</definedName>
    <definedName name="OSRRefD21_18x_5" localSheetId="49">'300 &amp; 317'!$I$213:$I$216</definedName>
    <definedName name="OSRRefD21_18x_5" localSheetId="50">'301'!$I$81:$I$87</definedName>
    <definedName name="OSRRefD21_18x_5" localSheetId="72">'310 &amp; 491'!$I$99:$I$108</definedName>
    <definedName name="OSRRefD21_18x_5" localSheetId="59">'326'!$I$111:$I$112</definedName>
    <definedName name="OSRRefD21_18x_5" localSheetId="57">'331'!$I$151:$I$152</definedName>
    <definedName name="OSRRefD21_18x_5" localSheetId="73">'491'!$I$92:$I$101</definedName>
    <definedName name="OSRRefD21_18x_5" localSheetId="87">'492'!$I$95:$I$96</definedName>
    <definedName name="OSRRefD21_18x_5" localSheetId="39">'Div 2'!$I$87</definedName>
    <definedName name="OSRRefD21_18x_5" localSheetId="47">'Div 3'!$I$190:$I$193</definedName>
    <definedName name="OSRRefD21_18x_5" localSheetId="71">'Div 4'!$I$95:$I$96</definedName>
    <definedName name="OSRRefD21_18x_5" localSheetId="2">Summary!$I$218:$I$221</definedName>
    <definedName name="OSRRefD21_18x_6" localSheetId="48">'300'!$J$189:$J$192</definedName>
    <definedName name="OSRRefD21_18x_6" localSheetId="49">'300 &amp; 317'!$J$213:$J$216</definedName>
    <definedName name="OSRRefD21_18x_6" localSheetId="50">'301'!$J$81:$J$87</definedName>
    <definedName name="OSRRefD21_18x_6" localSheetId="72">'310 &amp; 491'!$J$99:$J$108</definedName>
    <definedName name="OSRRefD21_18x_6" localSheetId="59">'326'!$J$111:$J$112</definedName>
    <definedName name="OSRRefD21_18x_6" localSheetId="57">'331'!$J$151:$J$152</definedName>
    <definedName name="OSRRefD21_18x_6" localSheetId="73">'491'!$J$92:$J$101</definedName>
    <definedName name="OSRRefD21_18x_6" localSheetId="87">'492'!$J$95:$J$96</definedName>
    <definedName name="OSRRefD21_18x_6" localSheetId="39">'Div 2'!$J$87</definedName>
    <definedName name="OSRRefD21_18x_6" localSheetId="47">'Div 3'!$J$190:$J$193</definedName>
    <definedName name="OSRRefD21_18x_6" localSheetId="71">'Div 4'!$J$95:$J$96</definedName>
    <definedName name="OSRRefD21_18x_6" localSheetId="2">Summary!$J$218:$J$221</definedName>
    <definedName name="OSRRefD21_18x_7" localSheetId="48">'300'!$K$189:$K$192</definedName>
    <definedName name="OSRRefD21_18x_7" localSheetId="49">'300 &amp; 317'!$K$213:$K$216</definedName>
    <definedName name="OSRRefD21_18x_7" localSheetId="50">'301'!$K$81:$K$87</definedName>
    <definedName name="OSRRefD21_18x_7" localSheetId="72">'310 &amp; 491'!$K$99:$K$108</definedName>
    <definedName name="OSRRefD21_18x_7" localSheetId="59">'326'!$K$111:$K$112</definedName>
    <definedName name="OSRRefD21_18x_7" localSheetId="57">'331'!$K$151:$K$152</definedName>
    <definedName name="OSRRefD21_18x_7" localSheetId="73">'491'!$K$92:$K$101</definedName>
    <definedName name="OSRRefD21_18x_7" localSheetId="87">'492'!$K$95:$K$96</definedName>
    <definedName name="OSRRefD21_18x_7" localSheetId="39">'Div 2'!$K$87</definedName>
    <definedName name="OSRRefD21_18x_7" localSheetId="47">'Div 3'!$K$190:$K$193</definedName>
    <definedName name="OSRRefD21_18x_7" localSheetId="71">'Div 4'!$K$95:$K$96</definedName>
    <definedName name="OSRRefD21_18x_7" localSheetId="2">Summary!$K$218:$K$221</definedName>
    <definedName name="OSRRefD21_18x_8" localSheetId="48">'300'!$L$189:$L$192</definedName>
    <definedName name="OSRRefD21_18x_8" localSheetId="49">'300 &amp; 317'!$L$213:$L$216</definedName>
    <definedName name="OSRRefD21_18x_8" localSheetId="50">'301'!$L$81:$L$87</definedName>
    <definedName name="OSRRefD21_18x_8" localSheetId="72">'310 &amp; 491'!$L$99:$L$108</definedName>
    <definedName name="OSRRefD21_18x_8" localSheetId="59">'326'!$L$111:$L$112</definedName>
    <definedName name="OSRRefD21_18x_8" localSheetId="57">'331'!$L$151:$L$152</definedName>
    <definedName name="OSRRefD21_18x_8" localSheetId="73">'491'!$L$92:$L$101</definedName>
    <definedName name="OSRRefD21_18x_8" localSheetId="87">'492'!$L$95:$L$96</definedName>
    <definedName name="OSRRefD21_18x_8" localSheetId="39">'Div 2'!$L$87</definedName>
    <definedName name="OSRRefD21_18x_8" localSheetId="47">'Div 3'!$L$190:$L$193</definedName>
    <definedName name="OSRRefD21_18x_8" localSheetId="71">'Div 4'!$L$95:$L$96</definedName>
    <definedName name="OSRRefD21_18x_8" localSheetId="2">Summary!$L$218:$L$221</definedName>
    <definedName name="OSRRefD21_18x_9" localSheetId="48">'300'!$M$189:$M$192</definedName>
    <definedName name="OSRRefD21_18x_9" localSheetId="49">'300 &amp; 317'!$M$213:$M$216</definedName>
    <definedName name="OSRRefD21_18x_9" localSheetId="50">'301'!$M$81:$M$87</definedName>
    <definedName name="OSRRefD21_18x_9" localSheetId="72">'310 &amp; 491'!$M$99:$M$108</definedName>
    <definedName name="OSRRefD21_18x_9" localSheetId="59">'326'!$M$111:$M$112</definedName>
    <definedName name="OSRRefD21_18x_9" localSheetId="57">'331'!$M$151:$M$152</definedName>
    <definedName name="OSRRefD21_18x_9" localSheetId="73">'491'!$M$92:$M$101</definedName>
    <definedName name="OSRRefD21_18x_9" localSheetId="87">'492'!$M$95:$M$96</definedName>
    <definedName name="OSRRefD21_18x_9" localSheetId="39">'Div 2'!$M$87</definedName>
    <definedName name="OSRRefD21_18x_9" localSheetId="47">'Div 3'!$M$190:$M$193</definedName>
    <definedName name="OSRRefD21_18x_9" localSheetId="71">'Div 4'!$M$95:$M$96</definedName>
    <definedName name="OSRRefD21_18x_9" localSheetId="2">Summary!$M$218:$M$221</definedName>
    <definedName name="OSRRefD21_19_0x" localSheetId="48">'300'!$D$194:$M$194</definedName>
    <definedName name="OSRRefD21_19_0x" localSheetId="49">'300 &amp; 317'!$D$218:$M$218</definedName>
    <definedName name="OSRRefD21_19_0x" localSheetId="50">'301'!$D$89:$M$89</definedName>
    <definedName name="OSRRefD21_19_0x" localSheetId="72">'310 &amp; 491'!$D$110:$M$110</definedName>
    <definedName name="OSRRefD21_19_0x" localSheetId="59">'326'!$D$114:$M$114</definedName>
    <definedName name="OSRRefD21_19_0x" localSheetId="57">'331'!$D$154:$M$154</definedName>
    <definedName name="OSRRefD21_19_0x" localSheetId="73">'491'!$D$103:$M$103</definedName>
    <definedName name="OSRRefD21_19_0x" localSheetId="39">'Div 2'!$D$89:$M$89</definedName>
    <definedName name="OSRRefD21_19_0x" localSheetId="47">'Div 3'!$D$195:$M$195</definedName>
    <definedName name="OSRRefD21_19_0x" localSheetId="71">'Div 4'!$D$98:$M$98</definedName>
    <definedName name="OSRRefD21_19_0x" localSheetId="2">Summary!$D$223:$M$223</definedName>
    <definedName name="OSRRefD21_19_10x" localSheetId="71">'Div 4'!$D$108:$M$108</definedName>
    <definedName name="OSRRefD21_19_1x" localSheetId="48">'300'!$D$195:$M$195</definedName>
    <definedName name="OSRRefD21_19_1x" localSheetId="49">'300 &amp; 317'!$D$219:$M$219</definedName>
    <definedName name="OSRRefD21_19_1x" localSheetId="72">'310 &amp; 491'!$D$111:$M$111</definedName>
    <definedName name="OSRRefD21_19_1x" localSheetId="73">'491'!$D$104:$M$104</definedName>
    <definedName name="OSRRefD21_19_1x" localSheetId="39">'Div 2'!$D$90:$M$90</definedName>
    <definedName name="OSRRefD21_19_1x" localSheetId="47">'Div 3'!$D$196:$M$196</definedName>
    <definedName name="OSRRefD21_19_1x" localSheetId="71">'Div 4'!$D$99:$M$99</definedName>
    <definedName name="OSRRefD21_19_1x" localSheetId="2">Summary!$D$224:$M$224</definedName>
    <definedName name="OSRRefD21_19_2x" localSheetId="47">'Div 3'!$D$197:$M$197</definedName>
    <definedName name="OSRRefD21_19_2x" localSheetId="71">'Div 4'!$D$100:$M$100</definedName>
    <definedName name="OSRRefD21_19_2x" localSheetId="2">Summary!$D$225:$M$225</definedName>
    <definedName name="OSRRefD21_19_3x" localSheetId="47">'Div 3'!$D$198:$M$198</definedName>
    <definedName name="OSRRefD21_19_3x" localSheetId="71">'Div 4'!$D$101:$M$101</definedName>
    <definedName name="OSRRefD21_19_3x" localSheetId="2">Summary!$D$226:$M$226</definedName>
    <definedName name="OSRRefD21_19_4x" localSheetId="71">'Div 4'!$D$102:$M$102</definedName>
    <definedName name="OSRRefD21_19_5x" localSheetId="71">'Div 4'!$D$103:$M$103</definedName>
    <definedName name="OSRRefD21_19_6x" localSheetId="71">'Div 4'!$D$104:$M$104</definedName>
    <definedName name="OSRRefD21_19_7x" localSheetId="71">'Div 4'!$D$105:$M$105</definedName>
    <definedName name="OSRRefD21_19_8x" localSheetId="71">'Div 4'!$D$106:$M$106</definedName>
    <definedName name="OSRRefD21_19_9x" localSheetId="71">'Div 4'!$D$107:$M$107</definedName>
    <definedName name="OSRRefD21_19x_0" localSheetId="48">'300'!$D$194:$D$195</definedName>
    <definedName name="OSRRefD21_19x_0" localSheetId="49">'300 &amp; 317'!$D$218:$D$219</definedName>
    <definedName name="OSRRefD21_19x_0" localSheetId="50">'301'!$D$89</definedName>
    <definedName name="OSRRefD21_19x_0" localSheetId="72">'310 &amp; 491'!$D$110:$D$111</definedName>
    <definedName name="OSRRefD21_19x_0" localSheetId="59">'326'!$D$114</definedName>
    <definedName name="OSRRefD21_19x_0" localSheetId="57">'331'!$D$154</definedName>
    <definedName name="OSRRefD21_19x_0" localSheetId="73">'491'!$D$103:$D$104</definedName>
    <definedName name="OSRRefD21_19x_0" localSheetId="39">'Div 2'!$D$89:$D$90</definedName>
    <definedName name="OSRRefD21_19x_0" localSheetId="47">'Div 3'!$D$195:$D$198</definedName>
    <definedName name="OSRRefD21_19x_0" localSheetId="71">'Div 4'!$D$98:$D$108</definedName>
    <definedName name="OSRRefD21_19x_0" localSheetId="2">Summary!$D$223:$D$226</definedName>
    <definedName name="OSRRefD21_19x_1" localSheetId="48">'300'!$E$194:$E$195</definedName>
    <definedName name="OSRRefD21_19x_1" localSheetId="49">'300 &amp; 317'!$E$218:$E$219</definedName>
    <definedName name="OSRRefD21_19x_1" localSheetId="50">'301'!$E$89</definedName>
    <definedName name="OSRRefD21_19x_1" localSheetId="72">'310 &amp; 491'!$E$110:$E$111</definedName>
    <definedName name="OSRRefD21_19x_1" localSheetId="59">'326'!$E$114</definedName>
    <definedName name="OSRRefD21_19x_1" localSheetId="57">'331'!$E$154</definedName>
    <definedName name="OSRRefD21_19x_1" localSheetId="73">'491'!$E$103:$E$104</definedName>
    <definedName name="OSRRefD21_19x_1" localSheetId="39">'Div 2'!$E$89:$E$90</definedName>
    <definedName name="OSRRefD21_19x_1" localSheetId="47">'Div 3'!$E$195:$E$198</definedName>
    <definedName name="OSRRefD21_19x_1" localSheetId="71">'Div 4'!$E$98:$E$108</definedName>
    <definedName name="OSRRefD21_19x_1" localSheetId="2">Summary!$E$223:$E$226</definedName>
    <definedName name="OSRRefD21_19x_2" localSheetId="48">'300'!$F$194:$F$195</definedName>
    <definedName name="OSRRefD21_19x_2" localSheetId="49">'300 &amp; 317'!$F$218:$F$219</definedName>
    <definedName name="OSRRefD21_19x_2" localSheetId="50">'301'!$F$89</definedName>
    <definedName name="OSRRefD21_19x_2" localSheetId="72">'310 &amp; 491'!$F$110:$F$111</definedName>
    <definedName name="OSRRefD21_19x_2" localSheetId="59">'326'!$F$114</definedName>
    <definedName name="OSRRefD21_19x_2" localSheetId="57">'331'!$F$154</definedName>
    <definedName name="OSRRefD21_19x_2" localSheetId="73">'491'!$F$103:$F$104</definedName>
    <definedName name="OSRRefD21_19x_2" localSheetId="39">'Div 2'!$F$89:$F$90</definedName>
    <definedName name="OSRRefD21_19x_2" localSheetId="47">'Div 3'!$F$195:$F$198</definedName>
    <definedName name="OSRRefD21_19x_2" localSheetId="71">'Div 4'!$F$98:$F$108</definedName>
    <definedName name="OSRRefD21_19x_2" localSheetId="2">Summary!$F$223:$F$226</definedName>
    <definedName name="OSRRefD21_19x_3" localSheetId="48">'300'!$G$194:$G$195</definedName>
    <definedName name="OSRRefD21_19x_3" localSheetId="49">'300 &amp; 317'!$G$218:$G$219</definedName>
    <definedName name="OSRRefD21_19x_3" localSheetId="50">'301'!$G$89</definedName>
    <definedName name="OSRRefD21_19x_3" localSheetId="72">'310 &amp; 491'!$G$110:$G$111</definedName>
    <definedName name="OSRRefD21_19x_3" localSheetId="59">'326'!$G$114</definedName>
    <definedName name="OSRRefD21_19x_3" localSheetId="57">'331'!$G$154</definedName>
    <definedName name="OSRRefD21_19x_3" localSheetId="73">'491'!$G$103:$G$104</definedName>
    <definedName name="OSRRefD21_19x_3" localSheetId="39">'Div 2'!$G$89:$G$90</definedName>
    <definedName name="OSRRefD21_19x_3" localSheetId="47">'Div 3'!$G$195:$G$198</definedName>
    <definedName name="OSRRefD21_19x_3" localSheetId="71">'Div 4'!$G$98:$G$108</definedName>
    <definedName name="OSRRefD21_19x_3" localSheetId="2">Summary!$G$223:$G$226</definedName>
    <definedName name="OSRRefD21_19x_4" localSheetId="48">'300'!$H$194:$H$195</definedName>
    <definedName name="OSRRefD21_19x_4" localSheetId="49">'300 &amp; 317'!$H$218:$H$219</definedName>
    <definedName name="OSRRefD21_19x_4" localSheetId="50">'301'!$H$89</definedName>
    <definedName name="OSRRefD21_19x_4" localSheetId="72">'310 &amp; 491'!$H$110:$H$111</definedName>
    <definedName name="OSRRefD21_19x_4" localSheetId="59">'326'!$H$114</definedName>
    <definedName name="OSRRefD21_19x_4" localSheetId="57">'331'!$H$154</definedName>
    <definedName name="OSRRefD21_19x_4" localSheetId="73">'491'!$H$103:$H$104</definedName>
    <definedName name="OSRRefD21_19x_4" localSheetId="39">'Div 2'!$H$89:$H$90</definedName>
    <definedName name="OSRRefD21_19x_4" localSheetId="47">'Div 3'!$H$195:$H$198</definedName>
    <definedName name="OSRRefD21_19x_4" localSheetId="71">'Div 4'!$H$98:$H$108</definedName>
    <definedName name="OSRRefD21_19x_4" localSheetId="2">Summary!$H$223:$H$226</definedName>
    <definedName name="OSRRefD21_19x_5" localSheetId="48">'300'!$I$194:$I$195</definedName>
    <definedName name="OSRRefD21_19x_5" localSheetId="49">'300 &amp; 317'!$I$218:$I$219</definedName>
    <definedName name="OSRRefD21_19x_5" localSheetId="50">'301'!$I$89</definedName>
    <definedName name="OSRRefD21_19x_5" localSheetId="72">'310 &amp; 491'!$I$110:$I$111</definedName>
    <definedName name="OSRRefD21_19x_5" localSheetId="59">'326'!$I$114</definedName>
    <definedName name="OSRRefD21_19x_5" localSheetId="57">'331'!$I$154</definedName>
    <definedName name="OSRRefD21_19x_5" localSheetId="73">'491'!$I$103:$I$104</definedName>
    <definedName name="OSRRefD21_19x_5" localSheetId="39">'Div 2'!$I$89:$I$90</definedName>
    <definedName name="OSRRefD21_19x_5" localSheetId="47">'Div 3'!$I$195:$I$198</definedName>
    <definedName name="OSRRefD21_19x_5" localSheetId="71">'Div 4'!$I$98:$I$108</definedName>
    <definedName name="OSRRefD21_19x_5" localSheetId="2">Summary!$I$223:$I$226</definedName>
    <definedName name="OSRRefD21_19x_6" localSheetId="48">'300'!$J$194:$J$195</definedName>
    <definedName name="OSRRefD21_19x_6" localSheetId="49">'300 &amp; 317'!$J$218:$J$219</definedName>
    <definedName name="OSRRefD21_19x_6" localSheetId="50">'301'!$J$89</definedName>
    <definedName name="OSRRefD21_19x_6" localSheetId="72">'310 &amp; 491'!$J$110:$J$111</definedName>
    <definedName name="OSRRefD21_19x_6" localSheetId="59">'326'!$J$114</definedName>
    <definedName name="OSRRefD21_19x_6" localSheetId="57">'331'!$J$154</definedName>
    <definedName name="OSRRefD21_19x_6" localSheetId="73">'491'!$J$103:$J$104</definedName>
    <definedName name="OSRRefD21_19x_6" localSheetId="39">'Div 2'!$J$89:$J$90</definedName>
    <definedName name="OSRRefD21_19x_6" localSheetId="47">'Div 3'!$J$195:$J$198</definedName>
    <definedName name="OSRRefD21_19x_6" localSheetId="71">'Div 4'!$J$98:$J$108</definedName>
    <definedName name="OSRRefD21_19x_6" localSheetId="2">Summary!$J$223:$J$226</definedName>
    <definedName name="OSRRefD21_19x_7" localSheetId="48">'300'!$K$194:$K$195</definedName>
    <definedName name="OSRRefD21_19x_7" localSheetId="49">'300 &amp; 317'!$K$218:$K$219</definedName>
    <definedName name="OSRRefD21_19x_7" localSheetId="50">'301'!$K$89</definedName>
    <definedName name="OSRRefD21_19x_7" localSheetId="72">'310 &amp; 491'!$K$110:$K$111</definedName>
    <definedName name="OSRRefD21_19x_7" localSheetId="59">'326'!$K$114</definedName>
    <definedName name="OSRRefD21_19x_7" localSheetId="57">'331'!$K$154</definedName>
    <definedName name="OSRRefD21_19x_7" localSheetId="73">'491'!$K$103:$K$104</definedName>
    <definedName name="OSRRefD21_19x_7" localSheetId="39">'Div 2'!$K$89:$K$90</definedName>
    <definedName name="OSRRefD21_19x_7" localSheetId="47">'Div 3'!$K$195:$K$198</definedName>
    <definedName name="OSRRefD21_19x_7" localSheetId="71">'Div 4'!$K$98:$K$108</definedName>
    <definedName name="OSRRefD21_19x_7" localSheetId="2">Summary!$K$223:$K$226</definedName>
    <definedName name="OSRRefD21_19x_8" localSheetId="48">'300'!$L$194:$L$195</definedName>
    <definedName name="OSRRefD21_19x_8" localSheetId="49">'300 &amp; 317'!$L$218:$L$219</definedName>
    <definedName name="OSRRefD21_19x_8" localSheetId="50">'301'!$L$89</definedName>
    <definedName name="OSRRefD21_19x_8" localSheetId="72">'310 &amp; 491'!$L$110:$L$111</definedName>
    <definedName name="OSRRefD21_19x_8" localSheetId="59">'326'!$L$114</definedName>
    <definedName name="OSRRefD21_19x_8" localSheetId="57">'331'!$L$154</definedName>
    <definedName name="OSRRefD21_19x_8" localSheetId="73">'491'!$L$103:$L$104</definedName>
    <definedName name="OSRRefD21_19x_8" localSheetId="39">'Div 2'!$L$89:$L$90</definedName>
    <definedName name="OSRRefD21_19x_8" localSheetId="47">'Div 3'!$L$195:$L$198</definedName>
    <definedName name="OSRRefD21_19x_8" localSheetId="71">'Div 4'!$L$98:$L$108</definedName>
    <definedName name="OSRRefD21_19x_8" localSheetId="2">Summary!$L$223:$L$226</definedName>
    <definedName name="OSRRefD21_19x_9" localSheetId="48">'300'!$M$194:$M$195</definedName>
    <definedName name="OSRRefD21_19x_9" localSheetId="49">'300 &amp; 317'!$M$218:$M$219</definedName>
    <definedName name="OSRRefD21_19x_9" localSheetId="50">'301'!$M$89</definedName>
    <definedName name="OSRRefD21_19x_9" localSheetId="72">'310 &amp; 491'!$M$110:$M$111</definedName>
    <definedName name="OSRRefD21_19x_9" localSheetId="59">'326'!$M$114</definedName>
    <definedName name="OSRRefD21_19x_9" localSheetId="57">'331'!$M$154</definedName>
    <definedName name="OSRRefD21_19x_9" localSheetId="73">'491'!$M$103:$M$104</definedName>
    <definedName name="OSRRefD21_19x_9" localSheetId="39">'Div 2'!$M$89:$M$90</definedName>
    <definedName name="OSRRefD21_19x_9" localSheetId="47">'Div 3'!$M$195:$M$198</definedName>
    <definedName name="OSRRefD21_19x_9" localSheetId="71">'Div 4'!$M$98:$M$108</definedName>
    <definedName name="OSRRefD21_19x_9" localSheetId="2">Summary!$M$223:$M$226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'300'!$D$134:$D$143</definedName>
    <definedName name="OSRRefD21_1x_0" localSheetId="49">'300 &amp; 317'!$D$158:$D$167</definedName>
    <definedName name="OSRRefD21_1x_0" localSheetId="50">'301'!$D$31:$D$40</definedName>
    <definedName name="OSRRefD21_1x_0" localSheetId="51">'306'!$D$29:$D$38</definedName>
    <definedName name="OSRRefD21_1x_0" localSheetId="53">'307'!$D$47:$D$56</definedName>
    <definedName name="OSRRefD21_1x_0" localSheetId="54">'308'!$D$69:$D$78</definedName>
    <definedName name="OSRRefD21_1x_0" localSheetId="65">'309'!$D$30:$D$39</definedName>
    <definedName name="OSRRefD21_1x_0" localSheetId="64">'310'!$D$39:$D$48</definedName>
    <definedName name="OSRRefD21_1x_0" localSheetId="72">'310 &amp; 491'!$D$45:$D$54</definedName>
    <definedName name="OSRRefD21_1x_0" localSheetId="55">'311'!$D$68:$D$77</definedName>
    <definedName name="OSRRefD21_1x_0" localSheetId="66">'313'!$D$34:$D$43</definedName>
    <definedName name="OSRRefD21_1x_0" localSheetId="58">'315'!$D$90:$D$99</definedName>
    <definedName name="OSRRefD21_1x_0" localSheetId="61">'316'!$D$41:$D$50</definedName>
    <definedName name="OSRRefD21_1x_0" localSheetId="63">'317'!$D$63:$D$72</definedName>
    <definedName name="OSRRefD21_1x_0" localSheetId="67">'321'!$D$33:$D$42</definedName>
    <definedName name="OSRRefD21_1x_0" localSheetId="68">'322'!$D$31:$D$40</definedName>
    <definedName name="OSRRefD21_1x_0" localSheetId="56">'324'!$D$35:$D$44</definedName>
    <definedName name="OSRRefD21_1x_0" localSheetId="69">'325'!$D$30:$D$39</definedName>
    <definedName name="OSRRefD21_1x_0" localSheetId="59">'326'!$D$57:$D$66</definedName>
    <definedName name="OSRRefD21_1x_0" localSheetId="70">'327'!$D$25</definedName>
    <definedName name="OSRRefD21_1x_0" localSheetId="52">'330'!$D$51:$D$60</definedName>
    <definedName name="OSRRefD21_1x_0" localSheetId="57">'331'!$D$91:$D$100</definedName>
    <definedName name="OSRRefD21_1x_0" localSheetId="60">'332'!$D$43:$D$52</definedName>
    <definedName name="OSRRefD21_1x_0" localSheetId="74">'405'!$D$32:$D$41</definedName>
    <definedName name="OSRRefD21_1x_0" localSheetId="75">'406'!$D$21</definedName>
    <definedName name="OSRRefD21_1x_0" localSheetId="76">'411'!$D$29:$D$38</definedName>
    <definedName name="OSRRefD21_1x_0" localSheetId="77">'412'!$D$30:$D$39</definedName>
    <definedName name="OSRRefD21_1x_0" localSheetId="78">'413'!$D$32:$D$41</definedName>
    <definedName name="OSRRefD21_1x_0" localSheetId="79">'414'!$D$34:$D$43</definedName>
    <definedName name="OSRRefD21_1x_0" localSheetId="80">'415'!$D$36:$D$45</definedName>
    <definedName name="OSRRefD21_1x_0" localSheetId="81">'418'!$D$32:$D$41</definedName>
    <definedName name="OSRRefD21_1x_0" localSheetId="82">'420'!$D$23</definedName>
    <definedName name="OSRRefD21_1x_0" localSheetId="83">'423'!$D$28:$D$37</definedName>
    <definedName name="OSRRefD21_1x_0" localSheetId="84">'424'!$D$21</definedName>
    <definedName name="OSRRefD21_1x_0" localSheetId="85">'425'!$D$26</definedName>
    <definedName name="OSRRefD21_1x_0" localSheetId="88">'430'!$D$29:$D$38</definedName>
    <definedName name="OSRRefD21_1x_0" localSheetId="89">'433'!$D$37:$D$46</definedName>
    <definedName name="OSRRefD21_1x_0" localSheetId="91">'444'!$D$37:$D$46</definedName>
    <definedName name="OSRRefD21_1x_0" localSheetId="92">'450'!$D$33:$D$42</definedName>
    <definedName name="OSRRefD21_1x_0" localSheetId="73">'491'!$D$39:$D$48</definedName>
    <definedName name="OSRRefD21_1x_0" localSheetId="87">'492'!$D$37:$D$46</definedName>
    <definedName name="OSRRefD21_1x_0" localSheetId="94">'501'!$D$32:$D$41</definedName>
    <definedName name="OSRRefD21_1x_0" localSheetId="39">'Div 2'!$D$31:$D$40</definedName>
    <definedName name="OSRRefD21_1x_0" localSheetId="47">'Div 3'!$D$138:$D$147</definedName>
    <definedName name="OSRRefD21_1x_0" localSheetId="71">'Div 4'!$D$42:$D$51</definedName>
    <definedName name="OSRRefD21_1x_0" localSheetId="93">'Div 5'!$D$32:$D$41</definedName>
    <definedName name="OSRRefD21_1x_0" localSheetId="62">'Div 6'!$D$63:$D$72</definedName>
    <definedName name="OSRRefD21_1x_0" localSheetId="2">Summary!$D$168:$D$177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'300'!$E$134:$E$143</definedName>
    <definedName name="OSRRefD21_1x_1" localSheetId="49">'300 &amp; 317'!$E$158:$E$167</definedName>
    <definedName name="OSRRefD21_1x_1" localSheetId="50">'301'!$E$31:$E$40</definedName>
    <definedName name="OSRRefD21_1x_1" localSheetId="51">'306'!$E$29:$E$38</definedName>
    <definedName name="OSRRefD21_1x_1" localSheetId="53">'307'!$E$47:$E$56</definedName>
    <definedName name="OSRRefD21_1x_1" localSheetId="54">'308'!$E$69:$E$78</definedName>
    <definedName name="OSRRefD21_1x_1" localSheetId="65">'309'!$E$30:$E$39</definedName>
    <definedName name="OSRRefD21_1x_1" localSheetId="64">'310'!$E$39:$E$48</definedName>
    <definedName name="OSRRefD21_1x_1" localSheetId="72">'310 &amp; 491'!$E$45:$E$54</definedName>
    <definedName name="OSRRefD21_1x_1" localSheetId="55">'311'!$E$68:$E$77</definedName>
    <definedName name="OSRRefD21_1x_1" localSheetId="66">'313'!$E$34:$E$43</definedName>
    <definedName name="OSRRefD21_1x_1" localSheetId="58">'315'!$E$90:$E$99</definedName>
    <definedName name="OSRRefD21_1x_1" localSheetId="61">'316'!$E$41:$E$50</definedName>
    <definedName name="OSRRefD21_1x_1" localSheetId="63">'317'!$E$63:$E$72</definedName>
    <definedName name="OSRRefD21_1x_1" localSheetId="67">'321'!$E$33:$E$42</definedName>
    <definedName name="OSRRefD21_1x_1" localSheetId="68">'322'!$E$31:$E$40</definedName>
    <definedName name="OSRRefD21_1x_1" localSheetId="56">'324'!$E$35:$E$44</definedName>
    <definedName name="OSRRefD21_1x_1" localSheetId="69">'325'!$E$30:$E$39</definedName>
    <definedName name="OSRRefD21_1x_1" localSheetId="59">'326'!$E$57:$E$66</definedName>
    <definedName name="OSRRefD21_1x_1" localSheetId="70">'327'!$E$25</definedName>
    <definedName name="OSRRefD21_1x_1" localSheetId="52">'330'!$E$51:$E$60</definedName>
    <definedName name="OSRRefD21_1x_1" localSheetId="57">'331'!$E$91:$E$100</definedName>
    <definedName name="OSRRefD21_1x_1" localSheetId="60">'332'!$E$43:$E$52</definedName>
    <definedName name="OSRRefD21_1x_1" localSheetId="74">'405'!$E$32:$E$41</definedName>
    <definedName name="OSRRefD21_1x_1" localSheetId="75">'406'!$E$21</definedName>
    <definedName name="OSRRefD21_1x_1" localSheetId="76">'411'!$E$29:$E$38</definedName>
    <definedName name="OSRRefD21_1x_1" localSheetId="77">'412'!$E$30:$E$39</definedName>
    <definedName name="OSRRefD21_1x_1" localSheetId="78">'413'!$E$32:$E$41</definedName>
    <definedName name="OSRRefD21_1x_1" localSheetId="79">'414'!$E$34:$E$43</definedName>
    <definedName name="OSRRefD21_1x_1" localSheetId="80">'415'!$E$36:$E$45</definedName>
    <definedName name="OSRRefD21_1x_1" localSheetId="81">'418'!$E$32:$E$41</definedName>
    <definedName name="OSRRefD21_1x_1" localSheetId="82">'420'!$E$23</definedName>
    <definedName name="OSRRefD21_1x_1" localSheetId="83">'423'!$E$28:$E$37</definedName>
    <definedName name="OSRRefD21_1x_1" localSheetId="84">'424'!$E$21</definedName>
    <definedName name="OSRRefD21_1x_1" localSheetId="85">'425'!$E$26</definedName>
    <definedName name="OSRRefD21_1x_1" localSheetId="88">'430'!$E$29:$E$38</definedName>
    <definedName name="OSRRefD21_1x_1" localSheetId="89">'433'!$E$37:$E$46</definedName>
    <definedName name="OSRRefD21_1x_1" localSheetId="91">'444'!$E$37:$E$46</definedName>
    <definedName name="OSRRefD21_1x_1" localSheetId="92">'450'!$E$33:$E$42</definedName>
    <definedName name="OSRRefD21_1x_1" localSheetId="73">'491'!$E$39:$E$48</definedName>
    <definedName name="OSRRefD21_1x_1" localSheetId="87">'492'!$E$37:$E$46</definedName>
    <definedName name="OSRRefD21_1x_1" localSheetId="94">'501'!$E$32:$E$41</definedName>
    <definedName name="OSRRefD21_1x_1" localSheetId="39">'Div 2'!$E$31:$E$40</definedName>
    <definedName name="OSRRefD21_1x_1" localSheetId="47">'Div 3'!$E$138:$E$147</definedName>
    <definedName name="OSRRefD21_1x_1" localSheetId="71">'Div 4'!$E$42:$E$51</definedName>
    <definedName name="OSRRefD21_1x_1" localSheetId="93">'Div 5'!$E$32:$E$41</definedName>
    <definedName name="OSRRefD21_1x_1" localSheetId="62">'Div 6'!$E$63:$E$72</definedName>
    <definedName name="OSRRefD21_1x_1" localSheetId="2">Summary!$E$168:$E$177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'300'!$F$134:$F$143</definedName>
    <definedName name="OSRRefD21_1x_2" localSheetId="49">'300 &amp; 317'!$F$158:$F$167</definedName>
    <definedName name="OSRRefD21_1x_2" localSheetId="50">'301'!$F$31:$F$40</definedName>
    <definedName name="OSRRefD21_1x_2" localSheetId="51">'306'!$F$29:$F$38</definedName>
    <definedName name="OSRRefD21_1x_2" localSheetId="53">'307'!$F$47:$F$56</definedName>
    <definedName name="OSRRefD21_1x_2" localSheetId="54">'308'!$F$69:$F$78</definedName>
    <definedName name="OSRRefD21_1x_2" localSheetId="65">'309'!$F$30:$F$39</definedName>
    <definedName name="OSRRefD21_1x_2" localSheetId="64">'310'!$F$39:$F$48</definedName>
    <definedName name="OSRRefD21_1x_2" localSheetId="72">'310 &amp; 491'!$F$45:$F$54</definedName>
    <definedName name="OSRRefD21_1x_2" localSheetId="55">'311'!$F$68:$F$77</definedName>
    <definedName name="OSRRefD21_1x_2" localSheetId="66">'313'!$F$34:$F$43</definedName>
    <definedName name="OSRRefD21_1x_2" localSheetId="58">'315'!$F$90:$F$99</definedName>
    <definedName name="OSRRefD21_1x_2" localSheetId="61">'316'!$F$41:$F$50</definedName>
    <definedName name="OSRRefD21_1x_2" localSheetId="63">'317'!$F$63:$F$72</definedName>
    <definedName name="OSRRefD21_1x_2" localSheetId="67">'321'!$F$33:$F$42</definedName>
    <definedName name="OSRRefD21_1x_2" localSheetId="68">'322'!$F$31:$F$40</definedName>
    <definedName name="OSRRefD21_1x_2" localSheetId="56">'324'!$F$35:$F$44</definedName>
    <definedName name="OSRRefD21_1x_2" localSheetId="69">'325'!$F$30:$F$39</definedName>
    <definedName name="OSRRefD21_1x_2" localSheetId="59">'326'!$F$57:$F$66</definedName>
    <definedName name="OSRRefD21_1x_2" localSheetId="70">'327'!$F$25</definedName>
    <definedName name="OSRRefD21_1x_2" localSheetId="52">'330'!$F$51:$F$60</definedName>
    <definedName name="OSRRefD21_1x_2" localSheetId="57">'331'!$F$91:$F$100</definedName>
    <definedName name="OSRRefD21_1x_2" localSheetId="60">'332'!$F$43:$F$52</definedName>
    <definedName name="OSRRefD21_1x_2" localSheetId="74">'405'!$F$32:$F$41</definedName>
    <definedName name="OSRRefD21_1x_2" localSheetId="75">'406'!$F$21</definedName>
    <definedName name="OSRRefD21_1x_2" localSheetId="76">'411'!$F$29:$F$38</definedName>
    <definedName name="OSRRefD21_1x_2" localSheetId="77">'412'!$F$30:$F$39</definedName>
    <definedName name="OSRRefD21_1x_2" localSheetId="78">'413'!$F$32:$F$41</definedName>
    <definedName name="OSRRefD21_1x_2" localSheetId="79">'414'!$F$34:$F$43</definedName>
    <definedName name="OSRRefD21_1x_2" localSheetId="80">'415'!$F$36:$F$45</definedName>
    <definedName name="OSRRefD21_1x_2" localSheetId="81">'418'!$F$32:$F$41</definedName>
    <definedName name="OSRRefD21_1x_2" localSheetId="82">'420'!$F$23</definedName>
    <definedName name="OSRRefD21_1x_2" localSheetId="83">'423'!$F$28:$F$37</definedName>
    <definedName name="OSRRefD21_1x_2" localSheetId="84">'424'!$F$21</definedName>
    <definedName name="OSRRefD21_1x_2" localSheetId="85">'425'!$F$26</definedName>
    <definedName name="OSRRefD21_1x_2" localSheetId="88">'430'!$F$29:$F$38</definedName>
    <definedName name="OSRRefD21_1x_2" localSheetId="89">'433'!$F$37:$F$46</definedName>
    <definedName name="OSRRefD21_1x_2" localSheetId="91">'444'!$F$37:$F$46</definedName>
    <definedName name="OSRRefD21_1x_2" localSheetId="92">'450'!$F$33:$F$42</definedName>
    <definedName name="OSRRefD21_1x_2" localSheetId="73">'491'!$F$39:$F$48</definedName>
    <definedName name="OSRRefD21_1x_2" localSheetId="87">'492'!$F$37:$F$46</definedName>
    <definedName name="OSRRefD21_1x_2" localSheetId="94">'501'!$F$32:$F$41</definedName>
    <definedName name="OSRRefD21_1x_2" localSheetId="39">'Div 2'!$F$31:$F$40</definedName>
    <definedName name="OSRRefD21_1x_2" localSheetId="47">'Div 3'!$F$138:$F$147</definedName>
    <definedName name="OSRRefD21_1x_2" localSheetId="71">'Div 4'!$F$42:$F$51</definedName>
    <definedName name="OSRRefD21_1x_2" localSheetId="93">'Div 5'!$F$32:$F$41</definedName>
    <definedName name="OSRRefD21_1x_2" localSheetId="62">'Div 6'!$F$63:$F$72</definedName>
    <definedName name="OSRRefD21_1x_2" localSheetId="2">Summary!$F$168:$F$177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'300'!$G$134:$G$143</definedName>
    <definedName name="OSRRefD21_1x_3" localSheetId="49">'300 &amp; 317'!$G$158:$G$167</definedName>
    <definedName name="OSRRefD21_1x_3" localSheetId="50">'301'!$G$31:$G$40</definedName>
    <definedName name="OSRRefD21_1x_3" localSheetId="51">'306'!$G$29:$G$38</definedName>
    <definedName name="OSRRefD21_1x_3" localSheetId="53">'307'!$G$47:$G$56</definedName>
    <definedName name="OSRRefD21_1x_3" localSheetId="54">'308'!$G$69:$G$78</definedName>
    <definedName name="OSRRefD21_1x_3" localSheetId="65">'309'!$G$30:$G$39</definedName>
    <definedName name="OSRRefD21_1x_3" localSheetId="64">'310'!$G$39:$G$48</definedName>
    <definedName name="OSRRefD21_1x_3" localSheetId="72">'310 &amp; 491'!$G$45:$G$54</definedName>
    <definedName name="OSRRefD21_1x_3" localSheetId="55">'311'!$G$68:$G$77</definedName>
    <definedName name="OSRRefD21_1x_3" localSheetId="66">'313'!$G$34:$G$43</definedName>
    <definedName name="OSRRefD21_1x_3" localSheetId="58">'315'!$G$90:$G$99</definedName>
    <definedName name="OSRRefD21_1x_3" localSheetId="61">'316'!$G$41:$G$50</definedName>
    <definedName name="OSRRefD21_1x_3" localSheetId="63">'317'!$G$63:$G$72</definedName>
    <definedName name="OSRRefD21_1x_3" localSheetId="67">'321'!$G$33:$G$42</definedName>
    <definedName name="OSRRefD21_1x_3" localSheetId="68">'322'!$G$31:$G$40</definedName>
    <definedName name="OSRRefD21_1x_3" localSheetId="56">'324'!$G$35:$G$44</definedName>
    <definedName name="OSRRefD21_1x_3" localSheetId="69">'325'!$G$30:$G$39</definedName>
    <definedName name="OSRRefD21_1x_3" localSheetId="59">'326'!$G$57:$G$66</definedName>
    <definedName name="OSRRefD21_1x_3" localSheetId="70">'327'!$G$25</definedName>
    <definedName name="OSRRefD21_1x_3" localSheetId="52">'330'!$G$51:$G$60</definedName>
    <definedName name="OSRRefD21_1x_3" localSheetId="57">'331'!$G$91:$G$100</definedName>
    <definedName name="OSRRefD21_1x_3" localSheetId="60">'332'!$G$43:$G$52</definedName>
    <definedName name="OSRRefD21_1x_3" localSheetId="74">'405'!$G$32:$G$41</definedName>
    <definedName name="OSRRefD21_1x_3" localSheetId="75">'406'!$G$21</definedName>
    <definedName name="OSRRefD21_1x_3" localSheetId="76">'411'!$G$29:$G$38</definedName>
    <definedName name="OSRRefD21_1x_3" localSheetId="77">'412'!$G$30:$G$39</definedName>
    <definedName name="OSRRefD21_1x_3" localSheetId="78">'413'!$G$32:$G$41</definedName>
    <definedName name="OSRRefD21_1x_3" localSheetId="79">'414'!$G$34:$G$43</definedName>
    <definedName name="OSRRefD21_1x_3" localSheetId="80">'415'!$G$36:$G$45</definedName>
    <definedName name="OSRRefD21_1x_3" localSheetId="81">'418'!$G$32:$G$41</definedName>
    <definedName name="OSRRefD21_1x_3" localSheetId="82">'420'!$G$23</definedName>
    <definedName name="OSRRefD21_1x_3" localSheetId="83">'423'!$G$28:$G$37</definedName>
    <definedName name="OSRRefD21_1x_3" localSheetId="84">'424'!$G$21</definedName>
    <definedName name="OSRRefD21_1x_3" localSheetId="85">'425'!$G$26</definedName>
    <definedName name="OSRRefD21_1x_3" localSheetId="88">'430'!$G$29:$G$38</definedName>
    <definedName name="OSRRefD21_1x_3" localSheetId="89">'433'!$G$37:$G$46</definedName>
    <definedName name="OSRRefD21_1x_3" localSheetId="91">'444'!$G$37:$G$46</definedName>
    <definedName name="OSRRefD21_1x_3" localSheetId="92">'450'!$G$33:$G$42</definedName>
    <definedName name="OSRRefD21_1x_3" localSheetId="73">'491'!$G$39:$G$48</definedName>
    <definedName name="OSRRefD21_1x_3" localSheetId="87">'492'!$G$37:$G$46</definedName>
    <definedName name="OSRRefD21_1x_3" localSheetId="94">'501'!$G$32:$G$41</definedName>
    <definedName name="OSRRefD21_1x_3" localSheetId="39">'Div 2'!$G$31:$G$40</definedName>
    <definedName name="OSRRefD21_1x_3" localSheetId="47">'Div 3'!$G$138:$G$147</definedName>
    <definedName name="OSRRefD21_1x_3" localSheetId="71">'Div 4'!$G$42:$G$51</definedName>
    <definedName name="OSRRefD21_1x_3" localSheetId="93">'Div 5'!$G$32:$G$41</definedName>
    <definedName name="OSRRefD21_1x_3" localSheetId="62">'Div 6'!$G$63:$G$72</definedName>
    <definedName name="OSRRefD21_1x_3" localSheetId="2">Summary!$G$168:$G$177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'300'!$H$134:$H$143</definedName>
    <definedName name="OSRRefD21_1x_4" localSheetId="49">'300 &amp; 317'!$H$158:$H$167</definedName>
    <definedName name="OSRRefD21_1x_4" localSheetId="50">'301'!$H$31:$H$40</definedName>
    <definedName name="OSRRefD21_1x_4" localSheetId="51">'306'!$H$29:$H$38</definedName>
    <definedName name="OSRRefD21_1x_4" localSheetId="53">'307'!$H$47:$H$56</definedName>
    <definedName name="OSRRefD21_1x_4" localSheetId="54">'308'!$H$69:$H$78</definedName>
    <definedName name="OSRRefD21_1x_4" localSheetId="65">'309'!$H$30:$H$39</definedName>
    <definedName name="OSRRefD21_1x_4" localSheetId="64">'310'!$H$39:$H$48</definedName>
    <definedName name="OSRRefD21_1x_4" localSheetId="72">'310 &amp; 491'!$H$45:$H$54</definedName>
    <definedName name="OSRRefD21_1x_4" localSheetId="55">'311'!$H$68:$H$77</definedName>
    <definedName name="OSRRefD21_1x_4" localSheetId="66">'313'!$H$34:$H$43</definedName>
    <definedName name="OSRRefD21_1x_4" localSheetId="58">'315'!$H$90:$H$99</definedName>
    <definedName name="OSRRefD21_1x_4" localSheetId="61">'316'!$H$41:$H$50</definedName>
    <definedName name="OSRRefD21_1x_4" localSheetId="63">'317'!$H$63:$H$72</definedName>
    <definedName name="OSRRefD21_1x_4" localSheetId="67">'321'!$H$33:$H$42</definedName>
    <definedName name="OSRRefD21_1x_4" localSheetId="68">'322'!$H$31:$H$40</definedName>
    <definedName name="OSRRefD21_1x_4" localSheetId="56">'324'!$H$35:$H$44</definedName>
    <definedName name="OSRRefD21_1x_4" localSheetId="69">'325'!$H$30:$H$39</definedName>
    <definedName name="OSRRefD21_1x_4" localSheetId="59">'326'!$H$57:$H$66</definedName>
    <definedName name="OSRRefD21_1x_4" localSheetId="70">'327'!$H$25</definedName>
    <definedName name="OSRRefD21_1x_4" localSheetId="52">'330'!$H$51:$H$60</definedName>
    <definedName name="OSRRefD21_1x_4" localSheetId="57">'331'!$H$91:$H$100</definedName>
    <definedName name="OSRRefD21_1x_4" localSheetId="60">'332'!$H$43:$H$52</definedName>
    <definedName name="OSRRefD21_1x_4" localSheetId="74">'405'!$H$32:$H$41</definedName>
    <definedName name="OSRRefD21_1x_4" localSheetId="75">'406'!$H$21</definedName>
    <definedName name="OSRRefD21_1x_4" localSheetId="76">'411'!$H$29:$H$38</definedName>
    <definedName name="OSRRefD21_1x_4" localSheetId="77">'412'!$H$30:$H$39</definedName>
    <definedName name="OSRRefD21_1x_4" localSheetId="78">'413'!$H$32:$H$41</definedName>
    <definedName name="OSRRefD21_1x_4" localSheetId="79">'414'!$H$34:$H$43</definedName>
    <definedName name="OSRRefD21_1x_4" localSheetId="80">'415'!$H$36:$H$45</definedName>
    <definedName name="OSRRefD21_1x_4" localSheetId="81">'418'!$H$32:$H$41</definedName>
    <definedName name="OSRRefD21_1x_4" localSheetId="82">'420'!$H$23</definedName>
    <definedName name="OSRRefD21_1x_4" localSheetId="83">'423'!$H$28:$H$37</definedName>
    <definedName name="OSRRefD21_1x_4" localSheetId="84">'424'!$H$21</definedName>
    <definedName name="OSRRefD21_1x_4" localSheetId="85">'425'!$H$26</definedName>
    <definedName name="OSRRefD21_1x_4" localSheetId="88">'430'!$H$29:$H$38</definedName>
    <definedName name="OSRRefD21_1x_4" localSheetId="89">'433'!$H$37:$H$46</definedName>
    <definedName name="OSRRefD21_1x_4" localSheetId="91">'444'!$H$37:$H$46</definedName>
    <definedName name="OSRRefD21_1x_4" localSheetId="92">'450'!$H$33:$H$42</definedName>
    <definedName name="OSRRefD21_1x_4" localSheetId="73">'491'!$H$39:$H$48</definedName>
    <definedName name="OSRRefD21_1x_4" localSheetId="87">'492'!$H$37:$H$46</definedName>
    <definedName name="OSRRefD21_1x_4" localSheetId="94">'501'!$H$32:$H$41</definedName>
    <definedName name="OSRRefD21_1x_4" localSheetId="39">'Div 2'!$H$31:$H$40</definedName>
    <definedName name="OSRRefD21_1x_4" localSheetId="47">'Div 3'!$H$138:$H$147</definedName>
    <definedName name="OSRRefD21_1x_4" localSheetId="71">'Div 4'!$H$42:$H$51</definedName>
    <definedName name="OSRRefD21_1x_4" localSheetId="93">'Div 5'!$H$32:$H$41</definedName>
    <definedName name="OSRRefD21_1x_4" localSheetId="62">'Div 6'!$H$63:$H$72</definedName>
    <definedName name="OSRRefD21_1x_4" localSheetId="2">Summary!$H$168:$H$177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'300'!$I$134:$I$143</definedName>
    <definedName name="OSRRefD21_1x_5" localSheetId="49">'300 &amp; 317'!$I$158:$I$167</definedName>
    <definedName name="OSRRefD21_1x_5" localSheetId="50">'301'!$I$31:$I$40</definedName>
    <definedName name="OSRRefD21_1x_5" localSheetId="51">'306'!$I$29:$I$38</definedName>
    <definedName name="OSRRefD21_1x_5" localSheetId="53">'307'!$I$47:$I$56</definedName>
    <definedName name="OSRRefD21_1x_5" localSheetId="54">'308'!$I$69:$I$78</definedName>
    <definedName name="OSRRefD21_1x_5" localSheetId="65">'309'!$I$30:$I$39</definedName>
    <definedName name="OSRRefD21_1x_5" localSheetId="64">'310'!$I$39:$I$48</definedName>
    <definedName name="OSRRefD21_1x_5" localSheetId="72">'310 &amp; 491'!$I$45:$I$54</definedName>
    <definedName name="OSRRefD21_1x_5" localSheetId="55">'311'!$I$68:$I$77</definedName>
    <definedName name="OSRRefD21_1x_5" localSheetId="66">'313'!$I$34:$I$43</definedName>
    <definedName name="OSRRefD21_1x_5" localSheetId="58">'315'!$I$90:$I$99</definedName>
    <definedName name="OSRRefD21_1x_5" localSheetId="61">'316'!$I$41:$I$50</definedName>
    <definedName name="OSRRefD21_1x_5" localSheetId="63">'317'!$I$63:$I$72</definedName>
    <definedName name="OSRRefD21_1x_5" localSheetId="67">'321'!$I$33:$I$42</definedName>
    <definedName name="OSRRefD21_1x_5" localSheetId="68">'322'!$I$31:$I$40</definedName>
    <definedName name="OSRRefD21_1x_5" localSheetId="56">'324'!$I$35:$I$44</definedName>
    <definedName name="OSRRefD21_1x_5" localSheetId="69">'325'!$I$30:$I$39</definedName>
    <definedName name="OSRRefD21_1x_5" localSheetId="59">'326'!$I$57:$I$66</definedName>
    <definedName name="OSRRefD21_1x_5" localSheetId="70">'327'!$I$25</definedName>
    <definedName name="OSRRefD21_1x_5" localSheetId="52">'330'!$I$51:$I$60</definedName>
    <definedName name="OSRRefD21_1x_5" localSheetId="57">'331'!$I$91:$I$100</definedName>
    <definedName name="OSRRefD21_1x_5" localSheetId="60">'332'!$I$43:$I$52</definedName>
    <definedName name="OSRRefD21_1x_5" localSheetId="74">'405'!$I$32:$I$41</definedName>
    <definedName name="OSRRefD21_1x_5" localSheetId="75">'406'!$I$21</definedName>
    <definedName name="OSRRefD21_1x_5" localSheetId="76">'411'!$I$29:$I$38</definedName>
    <definedName name="OSRRefD21_1x_5" localSheetId="77">'412'!$I$30:$I$39</definedName>
    <definedName name="OSRRefD21_1x_5" localSheetId="78">'413'!$I$32:$I$41</definedName>
    <definedName name="OSRRefD21_1x_5" localSheetId="79">'414'!$I$34:$I$43</definedName>
    <definedName name="OSRRefD21_1x_5" localSheetId="80">'415'!$I$36:$I$45</definedName>
    <definedName name="OSRRefD21_1x_5" localSheetId="81">'418'!$I$32:$I$41</definedName>
    <definedName name="OSRRefD21_1x_5" localSheetId="82">'420'!$I$23</definedName>
    <definedName name="OSRRefD21_1x_5" localSheetId="83">'423'!$I$28:$I$37</definedName>
    <definedName name="OSRRefD21_1x_5" localSheetId="84">'424'!$I$21</definedName>
    <definedName name="OSRRefD21_1x_5" localSheetId="85">'425'!$I$26</definedName>
    <definedName name="OSRRefD21_1x_5" localSheetId="88">'430'!$I$29:$I$38</definedName>
    <definedName name="OSRRefD21_1x_5" localSheetId="89">'433'!$I$37:$I$46</definedName>
    <definedName name="OSRRefD21_1x_5" localSheetId="91">'444'!$I$37:$I$46</definedName>
    <definedName name="OSRRefD21_1x_5" localSheetId="92">'450'!$I$33:$I$42</definedName>
    <definedName name="OSRRefD21_1x_5" localSheetId="73">'491'!$I$39:$I$48</definedName>
    <definedName name="OSRRefD21_1x_5" localSheetId="87">'492'!$I$37:$I$46</definedName>
    <definedName name="OSRRefD21_1x_5" localSheetId="94">'501'!$I$32:$I$41</definedName>
    <definedName name="OSRRefD21_1x_5" localSheetId="39">'Div 2'!$I$31:$I$40</definedName>
    <definedName name="OSRRefD21_1x_5" localSheetId="47">'Div 3'!$I$138:$I$147</definedName>
    <definedName name="OSRRefD21_1x_5" localSheetId="71">'Div 4'!$I$42:$I$51</definedName>
    <definedName name="OSRRefD21_1x_5" localSheetId="93">'Div 5'!$I$32:$I$41</definedName>
    <definedName name="OSRRefD21_1x_5" localSheetId="62">'Div 6'!$I$63:$I$72</definedName>
    <definedName name="OSRRefD21_1x_5" localSheetId="2">Summary!$I$168:$I$177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'204'!$J$30:$J$39</definedName>
    <definedName name="OSRRefD21_1x_6" localSheetId="45">'205'!$J$29:$J$38</definedName>
    <definedName name="OSRRefD21_1x_6" localSheetId="46">'206'!$J$29:$J$38</definedName>
    <definedName name="OSRRefD21_1x_6" localSheetId="48">'300'!$J$134:$J$143</definedName>
    <definedName name="OSRRefD21_1x_6" localSheetId="49">'300 &amp; 317'!$J$158:$J$167</definedName>
    <definedName name="OSRRefD21_1x_6" localSheetId="50">'301'!$J$31:$J$40</definedName>
    <definedName name="OSRRefD21_1x_6" localSheetId="51">'306'!$J$29:$J$38</definedName>
    <definedName name="OSRRefD21_1x_6" localSheetId="53">'307'!$J$47:$J$56</definedName>
    <definedName name="OSRRefD21_1x_6" localSheetId="54">'308'!$J$69:$J$78</definedName>
    <definedName name="OSRRefD21_1x_6" localSheetId="65">'309'!$J$30:$J$39</definedName>
    <definedName name="OSRRefD21_1x_6" localSheetId="64">'310'!$J$39:$J$48</definedName>
    <definedName name="OSRRefD21_1x_6" localSheetId="72">'310 &amp; 491'!$J$45:$J$54</definedName>
    <definedName name="OSRRefD21_1x_6" localSheetId="55">'311'!$J$68:$J$77</definedName>
    <definedName name="OSRRefD21_1x_6" localSheetId="66">'313'!$J$34:$J$43</definedName>
    <definedName name="OSRRefD21_1x_6" localSheetId="58">'315'!$J$90:$J$99</definedName>
    <definedName name="OSRRefD21_1x_6" localSheetId="61">'316'!$J$41:$J$50</definedName>
    <definedName name="OSRRefD21_1x_6" localSheetId="63">'317'!$J$63:$J$72</definedName>
    <definedName name="OSRRefD21_1x_6" localSheetId="67">'321'!$J$33:$J$42</definedName>
    <definedName name="OSRRefD21_1x_6" localSheetId="68">'322'!$J$31:$J$40</definedName>
    <definedName name="OSRRefD21_1x_6" localSheetId="56">'324'!$J$35:$J$44</definedName>
    <definedName name="OSRRefD21_1x_6" localSheetId="69">'325'!$J$30:$J$39</definedName>
    <definedName name="OSRRefD21_1x_6" localSheetId="59">'326'!$J$57:$J$66</definedName>
    <definedName name="OSRRefD21_1x_6" localSheetId="70">'327'!$J$25</definedName>
    <definedName name="OSRRefD21_1x_6" localSheetId="52">'330'!$J$51:$J$60</definedName>
    <definedName name="OSRRefD21_1x_6" localSheetId="57">'331'!$J$91:$J$100</definedName>
    <definedName name="OSRRefD21_1x_6" localSheetId="60">'332'!$J$43:$J$52</definedName>
    <definedName name="OSRRefD21_1x_6" localSheetId="74">'405'!$J$32:$J$41</definedName>
    <definedName name="OSRRefD21_1x_6" localSheetId="75">'406'!$J$21</definedName>
    <definedName name="OSRRefD21_1x_6" localSheetId="76">'411'!$J$29:$J$38</definedName>
    <definedName name="OSRRefD21_1x_6" localSheetId="77">'412'!$J$30:$J$39</definedName>
    <definedName name="OSRRefD21_1x_6" localSheetId="78">'413'!$J$32:$J$41</definedName>
    <definedName name="OSRRefD21_1x_6" localSheetId="79">'414'!$J$34:$J$43</definedName>
    <definedName name="OSRRefD21_1x_6" localSheetId="80">'415'!$J$36:$J$45</definedName>
    <definedName name="OSRRefD21_1x_6" localSheetId="81">'418'!$J$32:$J$41</definedName>
    <definedName name="OSRRefD21_1x_6" localSheetId="82">'420'!$J$23</definedName>
    <definedName name="OSRRefD21_1x_6" localSheetId="83">'423'!$J$28:$J$37</definedName>
    <definedName name="OSRRefD21_1x_6" localSheetId="84">'424'!$J$21</definedName>
    <definedName name="OSRRefD21_1x_6" localSheetId="85">'425'!$J$26</definedName>
    <definedName name="OSRRefD21_1x_6" localSheetId="88">'430'!$J$29:$J$38</definedName>
    <definedName name="OSRRefD21_1x_6" localSheetId="89">'433'!$J$37:$J$46</definedName>
    <definedName name="OSRRefD21_1x_6" localSheetId="91">'444'!$J$37:$J$46</definedName>
    <definedName name="OSRRefD21_1x_6" localSheetId="92">'450'!$J$33:$J$42</definedName>
    <definedName name="OSRRefD21_1x_6" localSheetId="73">'491'!$J$39:$J$48</definedName>
    <definedName name="OSRRefD21_1x_6" localSheetId="87">'492'!$J$37:$J$46</definedName>
    <definedName name="OSRRefD21_1x_6" localSheetId="94">'501'!$J$32:$J$41</definedName>
    <definedName name="OSRRefD21_1x_6" localSheetId="39">'Div 2'!$J$31:$J$40</definedName>
    <definedName name="OSRRefD21_1x_6" localSheetId="47">'Div 3'!$J$138:$J$147</definedName>
    <definedName name="OSRRefD21_1x_6" localSheetId="71">'Div 4'!$J$42:$J$51</definedName>
    <definedName name="OSRRefD21_1x_6" localSheetId="93">'Div 5'!$J$32:$J$41</definedName>
    <definedName name="OSRRefD21_1x_6" localSheetId="62">'Div 6'!$J$63:$J$72</definedName>
    <definedName name="OSRRefD21_1x_6" localSheetId="2">Summary!$J$168:$J$177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'204'!$K$30:$K$39</definedName>
    <definedName name="OSRRefD21_1x_7" localSheetId="45">'205'!$K$29:$K$38</definedName>
    <definedName name="OSRRefD21_1x_7" localSheetId="46">'206'!$K$29:$K$38</definedName>
    <definedName name="OSRRefD21_1x_7" localSheetId="48">'300'!$K$134:$K$143</definedName>
    <definedName name="OSRRefD21_1x_7" localSheetId="49">'300 &amp; 317'!$K$158:$K$167</definedName>
    <definedName name="OSRRefD21_1x_7" localSheetId="50">'301'!$K$31:$K$40</definedName>
    <definedName name="OSRRefD21_1x_7" localSheetId="51">'306'!$K$29:$K$38</definedName>
    <definedName name="OSRRefD21_1x_7" localSheetId="53">'307'!$K$47:$K$56</definedName>
    <definedName name="OSRRefD21_1x_7" localSheetId="54">'308'!$K$69:$K$78</definedName>
    <definedName name="OSRRefD21_1x_7" localSheetId="65">'309'!$K$30:$K$39</definedName>
    <definedName name="OSRRefD21_1x_7" localSheetId="64">'310'!$K$39:$K$48</definedName>
    <definedName name="OSRRefD21_1x_7" localSheetId="72">'310 &amp; 491'!$K$45:$K$54</definedName>
    <definedName name="OSRRefD21_1x_7" localSheetId="55">'311'!$K$68:$K$77</definedName>
    <definedName name="OSRRefD21_1x_7" localSheetId="66">'313'!$K$34:$K$43</definedName>
    <definedName name="OSRRefD21_1x_7" localSheetId="58">'315'!$K$90:$K$99</definedName>
    <definedName name="OSRRefD21_1x_7" localSheetId="61">'316'!$K$41:$K$50</definedName>
    <definedName name="OSRRefD21_1x_7" localSheetId="63">'317'!$K$63:$K$72</definedName>
    <definedName name="OSRRefD21_1x_7" localSheetId="67">'321'!$K$33:$K$42</definedName>
    <definedName name="OSRRefD21_1x_7" localSheetId="68">'322'!$K$31:$K$40</definedName>
    <definedName name="OSRRefD21_1x_7" localSheetId="56">'324'!$K$35:$K$44</definedName>
    <definedName name="OSRRefD21_1x_7" localSheetId="69">'325'!$K$30:$K$39</definedName>
    <definedName name="OSRRefD21_1x_7" localSheetId="59">'326'!$K$57:$K$66</definedName>
    <definedName name="OSRRefD21_1x_7" localSheetId="70">'327'!$K$25</definedName>
    <definedName name="OSRRefD21_1x_7" localSheetId="52">'330'!$K$51:$K$60</definedName>
    <definedName name="OSRRefD21_1x_7" localSheetId="57">'331'!$K$91:$K$100</definedName>
    <definedName name="OSRRefD21_1x_7" localSheetId="60">'332'!$K$43:$K$52</definedName>
    <definedName name="OSRRefD21_1x_7" localSheetId="74">'405'!$K$32:$K$41</definedName>
    <definedName name="OSRRefD21_1x_7" localSheetId="75">'406'!$K$21</definedName>
    <definedName name="OSRRefD21_1x_7" localSheetId="76">'411'!$K$29:$K$38</definedName>
    <definedName name="OSRRefD21_1x_7" localSheetId="77">'412'!$K$30:$K$39</definedName>
    <definedName name="OSRRefD21_1x_7" localSheetId="78">'413'!$K$32:$K$41</definedName>
    <definedName name="OSRRefD21_1x_7" localSheetId="79">'414'!$K$34:$K$43</definedName>
    <definedName name="OSRRefD21_1x_7" localSheetId="80">'415'!$K$36:$K$45</definedName>
    <definedName name="OSRRefD21_1x_7" localSheetId="81">'418'!$K$32:$K$41</definedName>
    <definedName name="OSRRefD21_1x_7" localSheetId="82">'420'!$K$23</definedName>
    <definedName name="OSRRefD21_1x_7" localSheetId="83">'423'!$K$28:$K$37</definedName>
    <definedName name="OSRRefD21_1x_7" localSheetId="84">'424'!$K$21</definedName>
    <definedName name="OSRRefD21_1x_7" localSheetId="85">'425'!$K$26</definedName>
    <definedName name="OSRRefD21_1x_7" localSheetId="88">'430'!$K$29:$K$38</definedName>
    <definedName name="OSRRefD21_1x_7" localSheetId="89">'433'!$K$37:$K$46</definedName>
    <definedName name="OSRRefD21_1x_7" localSheetId="91">'444'!$K$37:$K$46</definedName>
    <definedName name="OSRRefD21_1x_7" localSheetId="92">'450'!$K$33:$K$42</definedName>
    <definedName name="OSRRefD21_1x_7" localSheetId="73">'491'!$K$39:$K$48</definedName>
    <definedName name="OSRRefD21_1x_7" localSheetId="87">'492'!$K$37:$K$46</definedName>
    <definedName name="OSRRefD21_1x_7" localSheetId="94">'501'!$K$32:$K$41</definedName>
    <definedName name="OSRRefD21_1x_7" localSheetId="39">'Div 2'!$K$31:$K$40</definedName>
    <definedName name="OSRRefD21_1x_7" localSheetId="47">'Div 3'!$K$138:$K$147</definedName>
    <definedName name="OSRRefD21_1x_7" localSheetId="71">'Div 4'!$K$42:$K$51</definedName>
    <definedName name="OSRRefD21_1x_7" localSheetId="93">'Div 5'!$K$32:$K$41</definedName>
    <definedName name="OSRRefD21_1x_7" localSheetId="62">'Div 6'!$K$63:$K$72</definedName>
    <definedName name="OSRRefD21_1x_7" localSheetId="2">Summary!$K$168:$K$177</definedName>
    <definedName name="OSRRefD21_1x_8" localSheetId="40">'200'!$L$21</definedName>
    <definedName name="OSRRefD21_1x_8" localSheetId="41">'201'!$L$29:$L$38</definedName>
    <definedName name="OSRRefD21_1x_8" localSheetId="42">'202'!$L$29:$L$38</definedName>
    <definedName name="OSRRefD21_1x_8" localSheetId="43">'203'!$L$30:$L$39</definedName>
    <definedName name="OSRRefD21_1x_8" localSheetId="44">'204'!$L$30:$L$39</definedName>
    <definedName name="OSRRefD21_1x_8" localSheetId="45">'205'!$L$29:$L$38</definedName>
    <definedName name="OSRRefD21_1x_8" localSheetId="46">'206'!$L$29:$L$38</definedName>
    <definedName name="OSRRefD21_1x_8" localSheetId="48">'300'!$L$134:$L$143</definedName>
    <definedName name="OSRRefD21_1x_8" localSheetId="49">'300 &amp; 317'!$L$158:$L$167</definedName>
    <definedName name="OSRRefD21_1x_8" localSheetId="50">'301'!$L$31:$L$40</definedName>
    <definedName name="OSRRefD21_1x_8" localSheetId="51">'306'!$L$29:$L$38</definedName>
    <definedName name="OSRRefD21_1x_8" localSheetId="53">'307'!$L$47:$L$56</definedName>
    <definedName name="OSRRefD21_1x_8" localSheetId="54">'308'!$L$69:$L$78</definedName>
    <definedName name="OSRRefD21_1x_8" localSheetId="65">'309'!$L$30:$L$39</definedName>
    <definedName name="OSRRefD21_1x_8" localSheetId="64">'310'!$L$39:$L$48</definedName>
    <definedName name="OSRRefD21_1x_8" localSheetId="72">'310 &amp; 491'!$L$45:$L$54</definedName>
    <definedName name="OSRRefD21_1x_8" localSheetId="55">'311'!$L$68:$L$77</definedName>
    <definedName name="OSRRefD21_1x_8" localSheetId="66">'313'!$L$34:$L$43</definedName>
    <definedName name="OSRRefD21_1x_8" localSheetId="58">'315'!$L$90:$L$99</definedName>
    <definedName name="OSRRefD21_1x_8" localSheetId="61">'316'!$L$41:$L$50</definedName>
    <definedName name="OSRRefD21_1x_8" localSheetId="63">'317'!$L$63:$L$72</definedName>
    <definedName name="OSRRefD21_1x_8" localSheetId="67">'321'!$L$33:$L$42</definedName>
    <definedName name="OSRRefD21_1x_8" localSheetId="68">'322'!$L$31:$L$40</definedName>
    <definedName name="OSRRefD21_1x_8" localSheetId="56">'324'!$L$35:$L$44</definedName>
    <definedName name="OSRRefD21_1x_8" localSheetId="69">'325'!$L$30:$L$39</definedName>
    <definedName name="OSRRefD21_1x_8" localSheetId="59">'326'!$L$57:$L$66</definedName>
    <definedName name="OSRRefD21_1x_8" localSheetId="70">'327'!$L$25</definedName>
    <definedName name="OSRRefD21_1x_8" localSheetId="52">'330'!$L$51:$L$60</definedName>
    <definedName name="OSRRefD21_1x_8" localSheetId="57">'331'!$L$91:$L$100</definedName>
    <definedName name="OSRRefD21_1x_8" localSheetId="60">'332'!$L$43:$L$52</definedName>
    <definedName name="OSRRefD21_1x_8" localSheetId="74">'405'!$L$32:$L$41</definedName>
    <definedName name="OSRRefD21_1x_8" localSheetId="75">'406'!$L$21</definedName>
    <definedName name="OSRRefD21_1x_8" localSheetId="76">'411'!$L$29:$L$38</definedName>
    <definedName name="OSRRefD21_1x_8" localSheetId="77">'412'!$L$30:$L$39</definedName>
    <definedName name="OSRRefD21_1x_8" localSheetId="78">'413'!$L$32:$L$41</definedName>
    <definedName name="OSRRefD21_1x_8" localSheetId="79">'414'!$L$34:$L$43</definedName>
    <definedName name="OSRRefD21_1x_8" localSheetId="80">'415'!$L$36:$L$45</definedName>
    <definedName name="OSRRefD21_1x_8" localSheetId="81">'418'!$L$32:$L$41</definedName>
    <definedName name="OSRRefD21_1x_8" localSheetId="82">'420'!$L$23</definedName>
    <definedName name="OSRRefD21_1x_8" localSheetId="83">'423'!$L$28:$L$37</definedName>
    <definedName name="OSRRefD21_1x_8" localSheetId="84">'424'!$L$21</definedName>
    <definedName name="OSRRefD21_1x_8" localSheetId="85">'425'!$L$26</definedName>
    <definedName name="OSRRefD21_1x_8" localSheetId="88">'430'!$L$29:$L$38</definedName>
    <definedName name="OSRRefD21_1x_8" localSheetId="89">'433'!$L$37:$L$46</definedName>
    <definedName name="OSRRefD21_1x_8" localSheetId="91">'444'!$L$37:$L$46</definedName>
    <definedName name="OSRRefD21_1x_8" localSheetId="92">'450'!$L$33:$L$42</definedName>
    <definedName name="OSRRefD21_1x_8" localSheetId="73">'491'!$L$39:$L$48</definedName>
    <definedName name="OSRRefD21_1x_8" localSheetId="87">'492'!$L$37:$L$46</definedName>
    <definedName name="OSRRefD21_1x_8" localSheetId="94">'501'!$L$32:$L$41</definedName>
    <definedName name="OSRRefD21_1x_8" localSheetId="39">'Div 2'!$L$31:$L$40</definedName>
    <definedName name="OSRRefD21_1x_8" localSheetId="47">'Div 3'!$L$138:$L$147</definedName>
    <definedName name="OSRRefD21_1x_8" localSheetId="71">'Div 4'!$L$42:$L$51</definedName>
    <definedName name="OSRRefD21_1x_8" localSheetId="93">'Div 5'!$L$32:$L$41</definedName>
    <definedName name="OSRRefD21_1x_8" localSheetId="62">'Div 6'!$L$63:$L$72</definedName>
    <definedName name="OSRRefD21_1x_8" localSheetId="2">Summary!$L$168:$L$177</definedName>
    <definedName name="OSRRefD21_1x_9" localSheetId="40">'200'!$M$21</definedName>
    <definedName name="OSRRefD21_1x_9" localSheetId="41">'201'!$M$29:$M$38</definedName>
    <definedName name="OSRRefD21_1x_9" localSheetId="42">'202'!$M$29:$M$38</definedName>
    <definedName name="OSRRefD21_1x_9" localSheetId="43">'203'!$M$30:$M$39</definedName>
    <definedName name="OSRRefD21_1x_9" localSheetId="44">'204'!$M$30:$M$39</definedName>
    <definedName name="OSRRefD21_1x_9" localSheetId="45">'205'!$M$29:$M$38</definedName>
    <definedName name="OSRRefD21_1x_9" localSheetId="46">'206'!$M$29:$M$38</definedName>
    <definedName name="OSRRefD21_1x_9" localSheetId="48">'300'!$M$134:$M$143</definedName>
    <definedName name="OSRRefD21_1x_9" localSheetId="49">'300 &amp; 317'!$M$158:$M$167</definedName>
    <definedName name="OSRRefD21_1x_9" localSheetId="50">'301'!$M$31:$M$40</definedName>
    <definedName name="OSRRefD21_1x_9" localSheetId="51">'306'!$M$29:$M$38</definedName>
    <definedName name="OSRRefD21_1x_9" localSheetId="53">'307'!$M$47:$M$56</definedName>
    <definedName name="OSRRefD21_1x_9" localSheetId="54">'308'!$M$69:$M$78</definedName>
    <definedName name="OSRRefD21_1x_9" localSheetId="65">'309'!$M$30:$M$39</definedName>
    <definedName name="OSRRefD21_1x_9" localSheetId="64">'310'!$M$39:$M$48</definedName>
    <definedName name="OSRRefD21_1x_9" localSheetId="72">'310 &amp; 491'!$M$45:$M$54</definedName>
    <definedName name="OSRRefD21_1x_9" localSheetId="55">'311'!$M$68:$M$77</definedName>
    <definedName name="OSRRefD21_1x_9" localSheetId="66">'313'!$M$34:$M$43</definedName>
    <definedName name="OSRRefD21_1x_9" localSheetId="58">'315'!$M$90:$M$99</definedName>
    <definedName name="OSRRefD21_1x_9" localSheetId="61">'316'!$M$41:$M$50</definedName>
    <definedName name="OSRRefD21_1x_9" localSheetId="63">'317'!$M$63:$M$72</definedName>
    <definedName name="OSRRefD21_1x_9" localSheetId="67">'321'!$M$33:$M$42</definedName>
    <definedName name="OSRRefD21_1x_9" localSheetId="68">'322'!$M$31:$M$40</definedName>
    <definedName name="OSRRefD21_1x_9" localSheetId="56">'324'!$M$35:$M$44</definedName>
    <definedName name="OSRRefD21_1x_9" localSheetId="69">'325'!$M$30:$M$39</definedName>
    <definedName name="OSRRefD21_1x_9" localSheetId="59">'326'!$M$57:$M$66</definedName>
    <definedName name="OSRRefD21_1x_9" localSheetId="70">'327'!$M$25</definedName>
    <definedName name="OSRRefD21_1x_9" localSheetId="52">'330'!$M$51:$M$60</definedName>
    <definedName name="OSRRefD21_1x_9" localSheetId="57">'331'!$M$91:$M$100</definedName>
    <definedName name="OSRRefD21_1x_9" localSheetId="60">'332'!$M$43:$M$52</definedName>
    <definedName name="OSRRefD21_1x_9" localSheetId="74">'405'!$M$32:$M$41</definedName>
    <definedName name="OSRRefD21_1x_9" localSheetId="75">'406'!$M$21</definedName>
    <definedName name="OSRRefD21_1x_9" localSheetId="76">'411'!$M$29:$M$38</definedName>
    <definedName name="OSRRefD21_1x_9" localSheetId="77">'412'!$M$30:$M$39</definedName>
    <definedName name="OSRRefD21_1x_9" localSheetId="78">'413'!$M$32:$M$41</definedName>
    <definedName name="OSRRefD21_1x_9" localSheetId="79">'414'!$M$34:$M$43</definedName>
    <definedName name="OSRRefD21_1x_9" localSheetId="80">'415'!$M$36:$M$45</definedName>
    <definedName name="OSRRefD21_1x_9" localSheetId="81">'418'!$M$32:$M$41</definedName>
    <definedName name="OSRRefD21_1x_9" localSheetId="82">'420'!$M$23</definedName>
    <definedName name="OSRRefD21_1x_9" localSheetId="83">'423'!$M$28:$M$37</definedName>
    <definedName name="OSRRefD21_1x_9" localSheetId="84">'424'!$M$21</definedName>
    <definedName name="OSRRefD21_1x_9" localSheetId="85">'425'!$M$26</definedName>
    <definedName name="OSRRefD21_1x_9" localSheetId="88">'430'!$M$29:$M$38</definedName>
    <definedName name="OSRRefD21_1x_9" localSheetId="89">'433'!$M$37:$M$46</definedName>
    <definedName name="OSRRefD21_1x_9" localSheetId="91">'444'!$M$37:$M$46</definedName>
    <definedName name="OSRRefD21_1x_9" localSheetId="92">'450'!$M$33:$M$42</definedName>
    <definedName name="OSRRefD21_1x_9" localSheetId="73">'491'!$M$39:$M$48</definedName>
    <definedName name="OSRRefD21_1x_9" localSheetId="87">'492'!$M$37:$M$46</definedName>
    <definedName name="OSRRefD21_1x_9" localSheetId="94">'501'!$M$32:$M$41</definedName>
    <definedName name="OSRRefD21_1x_9" localSheetId="39">'Div 2'!$M$31:$M$40</definedName>
    <definedName name="OSRRefD21_1x_9" localSheetId="47">'Div 3'!$M$138:$M$147</definedName>
    <definedName name="OSRRefD21_1x_9" localSheetId="71">'Div 4'!$M$42:$M$51</definedName>
    <definedName name="OSRRefD21_1x_9" localSheetId="93">'Div 5'!$M$32:$M$41</definedName>
    <definedName name="OSRRefD21_1x_9" localSheetId="62">'Div 6'!$M$63:$M$72</definedName>
    <definedName name="OSRRefD21_1x_9" localSheetId="2">Summary!$M$168:$M$177</definedName>
    <definedName name="OSRRefD21_2_0x" localSheetId="40">'200'!$D$23:$M$23</definedName>
    <definedName name="OSRRefD21_2_0x" localSheetId="41">'201'!$D$40:$M$40</definedName>
    <definedName name="OSRRefD21_2_0x" localSheetId="42">'202'!$D$40:$M$40</definedName>
    <definedName name="OSRRefD21_2_0x" localSheetId="43">'203'!$D$41:$M$41</definedName>
    <definedName name="OSRRefD21_2_0x" localSheetId="44">'204'!$D$41:$M$41</definedName>
    <definedName name="OSRRefD21_2_0x" localSheetId="45">'205'!$D$40:$M$40</definedName>
    <definedName name="OSRRefD21_2_0x" localSheetId="46">'206'!$D$40:$M$40</definedName>
    <definedName name="OSRRefD21_2_0x" localSheetId="48">'300'!$D$145:$M$145</definedName>
    <definedName name="OSRRefD21_2_0x" localSheetId="49">'300 &amp; 317'!$D$169:$M$169</definedName>
    <definedName name="OSRRefD21_2_0x" localSheetId="50">'301'!$D$42:$M$42</definedName>
    <definedName name="OSRRefD21_2_0x" localSheetId="51">'306'!$D$40:$M$40</definedName>
    <definedName name="OSRRefD21_2_0x" localSheetId="53">'307'!$D$58:$M$58</definedName>
    <definedName name="OSRRefD21_2_0x" localSheetId="54">'308'!$D$80:$M$80</definedName>
    <definedName name="OSRRefD21_2_0x" localSheetId="65">'309'!$D$41:$M$41</definedName>
    <definedName name="OSRRefD21_2_0x" localSheetId="64">'310'!$D$50:$M$50</definedName>
    <definedName name="OSRRefD21_2_0x" localSheetId="72">'310 &amp; 491'!$D$56:$M$56</definedName>
    <definedName name="OSRRefD21_2_0x" localSheetId="55">'311'!$D$79:$M$79</definedName>
    <definedName name="OSRRefD21_2_0x" localSheetId="66">'313'!$D$45:$M$45</definedName>
    <definedName name="OSRRefD21_2_0x" localSheetId="58">'315'!$D$101:$M$101</definedName>
    <definedName name="OSRRefD21_2_0x" localSheetId="61">'316'!$D$52:$M$52</definedName>
    <definedName name="OSRRefD21_2_0x" localSheetId="63">'317'!$D$74:$M$74</definedName>
    <definedName name="OSRRefD21_2_0x" localSheetId="67">'321'!$D$44:$M$44</definedName>
    <definedName name="OSRRefD21_2_0x" localSheetId="68">'322'!$D$42:$M$42</definedName>
    <definedName name="OSRRefD21_2_0x" localSheetId="69">'325'!$D$41:$M$41</definedName>
    <definedName name="OSRRefD21_2_0x" localSheetId="59">'326'!$D$68:$M$68</definedName>
    <definedName name="OSRRefD21_2_0x" localSheetId="52">'330'!$D$62:$M$62</definedName>
    <definedName name="OSRRefD21_2_0x" localSheetId="57">'331'!$D$102:$M$102</definedName>
    <definedName name="OSRRefD21_2_0x" localSheetId="60">'332'!$D$54:$M$54</definedName>
    <definedName name="OSRRefD21_2_0x" localSheetId="74">'405'!$D$43:$M$43</definedName>
    <definedName name="OSRRefD21_2_0x" localSheetId="75">'406'!$D$23:$M$23</definedName>
    <definedName name="OSRRefD21_2_0x" localSheetId="76">'411'!$D$40:$M$40</definedName>
    <definedName name="OSRRefD21_2_0x" localSheetId="77">'412'!$D$41:$M$41</definedName>
    <definedName name="OSRRefD21_2_0x" localSheetId="78">'413'!$D$43:$M$43</definedName>
    <definedName name="OSRRefD21_2_0x" localSheetId="79">'414'!$D$45:$M$45</definedName>
    <definedName name="OSRRefD21_2_0x" localSheetId="80">'415'!$D$47:$M$47</definedName>
    <definedName name="OSRRefD21_2_0x" localSheetId="81">'418'!$D$43:$M$43</definedName>
    <definedName name="OSRRefD21_2_0x" localSheetId="83">'423'!$D$39:$M$39</definedName>
    <definedName name="OSRRefD21_2_0x" localSheetId="84">'424'!$D$23:$M$23</definedName>
    <definedName name="OSRRefD21_2_0x" localSheetId="85">'425'!$D$28:$M$28</definedName>
    <definedName name="OSRRefD21_2_0x" localSheetId="88">'430'!$D$40:$M$40</definedName>
    <definedName name="OSRRefD21_2_0x" localSheetId="89">'433'!$D$48:$M$48</definedName>
    <definedName name="OSRRefD21_2_0x" localSheetId="91">'444'!$D$48:$M$48</definedName>
    <definedName name="OSRRefD21_2_0x" localSheetId="92">'450'!$D$44:$M$44</definedName>
    <definedName name="OSRRefD21_2_0x" localSheetId="73">'491'!$D$50:$M$50</definedName>
    <definedName name="OSRRefD21_2_0x" localSheetId="87">'492'!$D$48:$M$48</definedName>
    <definedName name="OSRRefD21_2_0x" localSheetId="94">'501'!$D$43:$M$43</definedName>
    <definedName name="OSRRefD21_2_0x" localSheetId="39">'Div 2'!$D$42:$M$42</definedName>
    <definedName name="OSRRefD21_2_0x" localSheetId="47">'Div 3'!$D$149:$M$149</definedName>
    <definedName name="OSRRefD21_2_0x" localSheetId="71">'Div 4'!$D$53:$M$53</definedName>
    <definedName name="OSRRefD21_2_0x" localSheetId="93">'Div 5'!$D$43:$M$43</definedName>
    <definedName name="OSRRefD21_2_0x" localSheetId="62">'Div 6'!$D$74:$M$74</definedName>
    <definedName name="OSRRefD21_2_0x" localSheetId="2">Summary!$D$179:$M$179</definedName>
    <definedName name="OSRRefD21_20_0x" localSheetId="48">'300'!$D$197:$M$197</definedName>
    <definedName name="OSRRefD21_20_0x" localSheetId="49">'300 &amp; 317'!$D$221:$M$221</definedName>
    <definedName name="OSRRefD21_20_0x" localSheetId="50">'301'!$D$91:$M$91</definedName>
    <definedName name="OSRRefD21_20_0x" localSheetId="72">'310 &amp; 491'!$D$113:$M$113</definedName>
    <definedName name="OSRRefD21_20_0x" localSheetId="57">'331'!$D$156:$M$156</definedName>
    <definedName name="OSRRefD21_20_0x" localSheetId="73">'491'!$D$106:$M$106</definedName>
    <definedName name="OSRRefD21_20_0x" localSheetId="47">'Div 3'!$D$200:$M$200</definedName>
    <definedName name="OSRRefD21_20_0x" localSheetId="71">'Div 4'!$D$110:$M$110</definedName>
    <definedName name="OSRRefD21_20_0x" localSheetId="2">Summary!$D$228:$M$228</definedName>
    <definedName name="OSRRefD21_20_1x" localSheetId="48">'300'!$D$198:$M$198</definedName>
    <definedName name="OSRRefD21_20_1x" localSheetId="49">'300 &amp; 317'!$D$222:$M$222</definedName>
    <definedName name="OSRRefD21_20_1x" localSheetId="57">'331'!$D$157:$M$157</definedName>
    <definedName name="OSRRefD21_20_1x" localSheetId="47">'Div 3'!$D$201:$M$201</definedName>
    <definedName name="OSRRefD21_20_1x" localSheetId="71">'Div 4'!$D$111:$M$111</definedName>
    <definedName name="OSRRefD21_20_1x" localSheetId="2">Summary!$D$229:$M$229</definedName>
    <definedName name="OSRRefD21_20_2x" localSheetId="48">'300'!$D$199:$M$199</definedName>
    <definedName name="OSRRefD21_20_2x" localSheetId="49">'300 &amp; 317'!$D$223:$M$223</definedName>
    <definedName name="OSRRefD21_20_2x" localSheetId="2">Summary!$D$230:$M$230</definedName>
    <definedName name="OSRRefD21_20_3x" localSheetId="48">'300'!$D$200:$M$200</definedName>
    <definedName name="OSRRefD21_20_3x" localSheetId="49">'300 &amp; 317'!$D$224:$M$224</definedName>
    <definedName name="OSRRefD21_20_3x" localSheetId="2">Summary!$D$231:$M$231</definedName>
    <definedName name="OSRRefD21_20_4x" localSheetId="48">'300'!$D$201:$M$201</definedName>
    <definedName name="OSRRefD21_20_4x" localSheetId="49">'300 &amp; 317'!$D$225:$M$225</definedName>
    <definedName name="OSRRefD21_20_4x" localSheetId="2">Summary!$D$232:$M$232</definedName>
    <definedName name="OSRRefD21_20_5x" localSheetId="48">'300'!$D$202:$M$202</definedName>
    <definedName name="OSRRefD21_20_5x" localSheetId="49">'300 &amp; 317'!$D$226:$M$226</definedName>
    <definedName name="OSRRefD21_20_6x" localSheetId="48">'300'!$D$203:$M$203</definedName>
    <definedName name="OSRRefD21_20_6x" localSheetId="49">'300 &amp; 317'!$D$227:$M$227</definedName>
    <definedName name="OSRRefD21_20_7x" localSheetId="48">'300'!$D$204:$M$204</definedName>
    <definedName name="OSRRefD21_20_7x" localSheetId="49">'300 &amp; 317'!$D$228:$M$228</definedName>
    <definedName name="OSRRefD21_20_8x" localSheetId="48">'300'!$D$205:$M$205</definedName>
    <definedName name="OSRRefD21_20_8x" localSheetId="49">'300 &amp; 317'!$D$229:$M$229</definedName>
    <definedName name="OSRRefD21_20x_0" localSheetId="48">'300'!$D$197:$D$205</definedName>
    <definedName name="OSRRefD21_20x_0" localSheetId="49">'300 &amp; 317'!$D$221:$D$229</definedName>
    <definedName name="OSRRefD21_20x_0" localSheetId="50">'301'!$D$91</definedName>
    <definedName name="OSRRefD21_20x_0" localSheetId="72">'310 &amp; 491'!$D$113</definedName>
    <definedName name="OSRRefD21_20x_0" localSheetId="57">'331'!$D$156:$D$157</definedName>
    <definedName name="OSRRefD21_20x_0" localSheetId="73">'491'!$D$106</definedName>
    <definedName name="OSRRefD21_20x_0" localSheetId="47">'Div 3'!$D$200:$D$201</definedName>
    <definedName name="OSRRefD21_20x_0" localSheetId="71">'Div 4'!$D$110:$D$111</definedName>
    <definedName name="OSRRefD21_20x_0" localSheetId="2">Summary!$D$228:$D$232</definedName>
    <definedName name="OSRRefD21_20x_1" localSheetId="48">'300'!$E$197:$E$205</definedName>
    <definedName name="OSRRefD21_20x_1" localSheetId="49">'300 &amp; 317'!$E$221:$E$229</definedName>
    <definedName name="OSRRefD21_20x_1" localSheetId="50">'301'!$E$91</definedName>
    <definedName name="OSRRefD21_20x_1" localSheetId="72">'310 &amp; 491'!$E$113</definedName>
    <definedName name="OSRRefD21_20x_1" localSheetId="57">'331'!$E$156:$E$157</definedName>
    <definedName name="OSRRefD21_20x_1" localSheetId="73">'491'!$E$106</definedName>
    <definedName name="OSRRefD21_20x_1" localSheetId="47">'Div 3'!$E$200:$E$201</definedName>
    <definedName name="OSRRefD21_20x_1" localSheetId="71">'Div 4'!$E$110:$E$111</definedName>
    <definedName name="OSRRefD21_20x_1" localSheetId="2">Summary!$E$228:$E$232</definedName>
    <definedName name="OSRRefD21_20x_2" localSheetId="48">'300'!$F$197:$F$205</definedName>
    <definedName name="OSRRefD21_20x_2" localSheetId="49">'300 &amp; 317'!$F$221:$F$229</definedName>
    <definedName name="OSRRefD21_20x_2" localSheetId="50">'301'!$F$91</definedName>
    <definedName name="OSRRefD21_20x_2" localSheetId="72">'310 &amp; 491'!$F$113</definedName>
    <definedName name="OSRRefD21_20x_2" localSheetId="57">'331'!$F$156:$F$157</definedName>
    <definedName name="OSRRefD21_20x_2" localSheetId="73">'491'!$F$106</definedName>
    <definedName name="OSRRefD21_20x_2" localSheetId="47">'Div 3'!$F$200:$F$201</definedName>
    <definedName name="OSRRefD21_20x_2" localSheetId="71">'Div 4'!$F$110:$F$111</definedName>
    <definedName name="OSRRefD21_20x_2" localSheetId="2">Summary!$F$228:$F$232</definedName>
    <definedName name="OSRRefD21_20x_3" localSheetId="48">'300'!$G$197:$G$205</definedName>
    <definedName name="OSRRefD21_20x_3" localSheetId="49">'300 &amp; 317'!$G$221:$G$229</definedName>
    <definedName name="OSRRefD21_20x_3" localSheetId="50">'301'!$G$91</definedName>
    <definedName name="OSRRefD21_20x_3" localSheetId="72">'310 &amp; 491'!$G$113</definedName>
    <definedName name="OSRRefD21_20x_3" localSheetId="57">'331'!$G$156:$G$157</definedName>
    <definedName name="OSRRefD21_20x_3" localSheetId="73">'491'!$G$106</definedName>
    <definedName name="OSRRefD21_20x_3" localSheetId="47">'Div 3'!$G$200:$G$201</definedName>
    <definedName name="OSRRefD21_20x_3" localSheetId="71">'Div 4'!$G$110:$G$111</definedName>
    <definedName name="OSRRefD21_20x_3" localSheetId="2">Summary!$G$228:$G$232</definedName>
    <definedName name="OSRRefD21_20x_4" localSheetId="48">'300'!$H$197:$H$205</definedName>
    <definedName name="OSRRefD21_20x_4" localSheetId="49">'300 &amp; 317'!$H$221:$H$229</definedName>
    <definedName name="OSRRefD21_20x_4" localSheetId="50">'301'!$H$91</definedName>
    <definedName name="OSRRefD21_20x_4" localSheetId="72">'310 &amp; 491'!$H$113</definedName>
    <definedName name="OSRRefD21_20x_4" localSheetId="57">'331'!$H$156:$H$157</definedName>
    <definedName name="OSRRefD21_20x_4" localSheetId="73">'491'!$H$106</definedName>
    <definedName name="OSRRefD21_20x_4" localSheetId="47">'Div 3'!$H$200:$H$201</definedName>
    <definedName name="OSRRefD21_20x_4" localSheetId="71">'Div 4'!$H$110:$H$111</definedName>
    <definedName name="OSRRefD21_20x_4" localSheetId="2">Summary!$H$228:$H$232</definedName>
    <definedName name="OSRRefD21_20x_5" localSheetId="48">'300'!$I$197:$I$205</definedName>
    <definedName name="OSRRefD21_20x_5" localSheetId="49">'300 &amp; 317'!$I$221:$I$229</definedName>
    <definedName name="OSRRefD21_20x_5" localSheetId="50">'301'!$I$91</definedName>
    <definedName name="OSRRefD21_20x_5" localSheetId="72">'310 &amp; 491'!$I$113</definedName>
    <definedName name="OSRRefD21_20x_5" localSheetId="57">'331'!$I$156:$I$157</definedName>
    <definedName name="OSRRefD21_20x_5" localSheetId="73">'491'!$I$106</definedName>
    <definedName name="OSRRefD21_20x_5" localSheetId="47">'Div 3'!$I$200:$I$201</definedName>
    <definedName name="OSRRefD21_20x_5" localSheetId="71">'Div 4'!$I$110:$I$111</definedName>
    <definedName name="OSRRefD21_20x_5" localSheetId="2">Summary!$I$228:$I$232</definedName>
    <definedName name="OSRRefD21_20x_6" localSheetId="48">'300'!$J$197:$J$205</definedName>
    <definedName name="OSRRefD21_20x_6" localSheetId="49">'300 &amp; 317'!$J$221:$J$229</definedName>
    <definedName name="OSRRefD21_20x_6" localSheetId="50">'301'!$J$91</definedName>
    <definedName name="OSRRefD21_20x_6" localSheetId="72">'310 &amp; 491'!$J$113</definedName>
    <definedName name="OSRRefD21_20x_6" localSheetId="57">'331'!$J$156:$J$157</definedName>
    <definedName name="OSRRefD21_20x_6" localSheetId="73">'491'!$J$106</definedName>
    <definedName name="OSRRefD21_20x_6" localSheetId="47">'Div 3'!$J$200:$J$201</definedName>
    <definedName name="OSRRefD21_20x_6" localSheetId="71">'Div 4'!$J$110:$J$111</definedName>
    <definedName name="OSRRefD21_20x_6" localSheetId="2">Summary!$J$228:$J$232</definedName>
    <definedName name="OSRRefD21_20x_7" localSheetId="48">'300'!$K$197:$K$205</definedName>
    <definedName name="OSRRefD21_20x_7" localSheetId="49">'300 &amp; 317'!$K$221:$K$229</definedName>
    <definedName name="OSRRefD21_20x_7" localSheetId="50">'301'!$K$91</definedName>
    <definedName name="OSRRefD21_20x_7" localSheetId="72">'310 &amp; 491'!$K$113</definedName>
    <definedName name="OSRRefD21_20x_7" localSheetId="57">'331'!$K$156:$K$157</definedName>
    <definedName name="OSRRefD21_20x_7" localSheetId="73">'491'!$K$106</definedName>
    <definedName name="OSRRefD21_20x_7" localSheetId="47">'Div 3'!$K$200:$K$201</definedName>
    <definedName name="OSRRefD21_20x_7" localSheetId="71">'Div 4'!$K$110:$K$111</definedName>
    <definedName name="OSRRefD21_20x_7" localSheetId="2">Summary!$K$228:$K$232</definedName>
    <definedName name="OSRRefD21_20x_8" localSheetId="48">'300'!$L$197:$L$205</definedName>
    <definedName name="OSRRefD21_20x_8" localSheetId="49">'300 &amp; 317'!$L$221:$L$229</definedName>
    <definedName name="OSRRefD21_20x_8" localSheetId="50">'301'!$L$91</definedName>
    <definedName name="OSRRefD21_20x_8" localSheetId="72">'310 &amp; 491'!$L$113</definedName>
    <definedName name="OSRRefD21_20x_8" localSheetId="57">'331'!$L$156:$L$157</definedName>
    <definedName name="OSRRefD21_20x_8" localSheetId="73">'491'!$L$106</definedName>
    <definedName name="OSRRefD21_20x_8" localSheetId="47">'Div 3'!$L$200:$L$201</definedName>
    <definedName name="OSRRefD21_20x_8" localSheetId="71">'Div 4'!$L$110:$L$111</definedName>
    <definedName name="OSRRefD21_20x_8" localSheetId="2">Summary!$L$228:$L$232</definedName>
    <definedName name="OSRRefD21_20x_9" localSheetId="48">'300'!$M$197:$M$205</definedName>
    <definedName name="OSRRefD21_20x_9" localSheetId="49">'300 &amp; 317'!$M$221:$M$229</definedName>
    <definedName name="OSRRefD21_20x_9" localSheetId="50">'301'!$M$91</definedName>
    <definedName name="OSRRefD21_20x_9" localSheetId="72">'310 &amp; 491'!$M$113</definedName>
    <definedName name="OSRRefD21_20x_9" localSheetId="57">'331'!$M$156:$M$157</definedName>
    <definedName name="OSRRefD21_20x_9" localSheetId="73">'491'!$M$106</definedName>
    <definedName name="OSRRefD21_20x_9" localSheetId="47">'Div 3'!$M$200:$M$201</definedName>
    <definedName name="OSRRefD21_20x_9" localSheetId="71">'Div 4'!$M$110:$M$111</definedName>
    <definedName name="OSRRefD21_20x_9" localSheetId="2">Summary!$M$228:$M$232</definedName>
    <definedName name="OSRRefD21_21_0x" localSheetId="48">'300'!$D$207:$M$207</definedName>
    <definedName name="OSRRefD21_21_0x" localSheetId="49">'300 &amp; 317'!$D$231:$M$231</definedName>
    <definedName name="OSRRefD21_21_0x" localSheetId="50">'301'!$D$93:$M$93</definedName>
    <definedName name="OSRRefD21_21_0x" localSheetId="72">'310 &amp; 491'!$D$115:$M$115</definedName>
    <definedName name="OSRRefD21_21_0x" localSheetId="57">'331'!$D$159:$M$159</definedName>
    <definedName name="OSRRefD21_21_0x" localSheetId="73">'491'!$D$108:$M$108</definedName>
    <definedName name="OSRRefD21_21_0x" localSheetId="47">'Div 3'!$D$203:$M$203</definedName>
    <definedName name="OSRRefD21_21_0x" localSheetId="71">'Div 4'!$D$113:$M$113</definedName>
    <definedName name="OSRRefD21_21_0x" localSheetId="2">Summary!$D$234:$M$234</definedName>
    <definedName name="OSRRefD21_21_1x" localSheetId="48">'300'!$D$208:$M$208</definedName>
    <definedName name="OSRRefD21_21_1x" localSheetId="49">'300 &amp; 317'!$D$232:$M$232</definedName>
    <definedName name="OSRRefD21_21_1x" localSheetId="50">'301'!$D$94:$M$94</definedName>
    <definedName name="OSRRefD21_21_1x" localSheetId="47">'Div 3'!$D$204:$M$204</definedName>
    <definedName name="OSRRefD21_21_1x" localSheetId="2">Summary!$D$235:$M$235</definedName>
    <definedName name="OSRRefD21_21_2x" localSheetId="47">'Div 3'!$D$205:$M$205</definedName>
    <definedName name="OSRRefD21_21_3x" localSheetId="47">'Div 3'!$D$206:$M$206</definedName>
    <definedName name="OSRRefD21_21_4x" localSheetId="47">'Div 3'!$D$207:$M$207</definedName>
    <definedName name="OSRRefD21_21_5x" localSheetId="47">'Div 3'!$D$208:$M$208</definedName>
    <definedName name="OSRRefD21_21_6x" localSheetId="47">'Div 3'!$D$209:$M$209</definedName>
    <definedName name="OSRRefD21_21_7x" localSheetId="47">'Div 3'!$D$210:$M$210</definedName>
    <definedName name="OSRRefD21_21_8x" localSheetId="47">'Div 3'!$D$211:$M$211</definedName>
    <definedName name="OSRRefD21_21x_0" localSheetId="48">'300'!$D$207:$D$208</definedName>
    <definedName name="OSRRefD21_21x_0" localSheetId="49">'300 &amp; 317'!$D$231:$D$232</definedName>
    <definedName name="OSRRefD21_21x_0" localSheetId="50">'301'!$D$93:$D$94</definedName>
    <definedName name="OSRRefD21_21x_0" localSheetId="72">'310 &amp; 491'!$D$115</definedName>
    <definedName name="OSRRefD21_21x_0" localSheetId="57">'331'!$D$159</definedName>
    <definedName name="OSRRefD21_21x_0" localSheetId="73">'491'!$D$108</definedName>
    <definedName name="OSRRefD21_21x_0" localSheetId="47">'Div 3'!$D$203:$D$211</definedName>
    <definedName name="OSRRefD21_21x_0" localSheetId="71">'Div 4'!$D$113</definedName>
    <definedName name="OSRRefD21_21x_0" localSheetId="2">Summary!$D$234:$D$235</definedName>
    <definedName name="OSRRefD21_21x_1" localSheetId="48">'300'!$E$207:$E$208</definedName>
    <definedName name="OSRRefD21_21x_1" localSheetId="49">'300 &amp; 317'!$E$231:$E$232</definedName>
    <definedName name="OSRRefD21_21x_1" localSheetId="50">'301'!$E$93:$E$94</definedName>
    <definedName name="OSRRefD21_21x_1" localSheetId="72">'310 &amp; 491'!$E$115</definedName>
    <definedName name="OSRRefD21_21x_1" localSheetId="57">'331'!$E$159</definedName>
    <definedName name="OSRRefD21_21x_1" localSheetId="73">'491'!$E$108</definedName>
    <definedName name="OSRRefD21_21x_1" localSheetId="47">'Div 3'!$E$203:$E$211</definedName>
    <definedName name="OSRRefD21_21x_1" localSheetId="71">'Div 4'!$E$113</definedName>
    <definedName name="OSRRefD21_21x_1" localSheetId="2">Summary!$E$234:$E$235</definedName>
    <definedName name="OSRRefD21_21x_2" localSheetId="48">'300'!$F$207:$F$208</definedName>
    <definedName name="OSRRefD21_21x_2" localSheetId="49">'300 &amp; 317'!$F$231:$F$232</definedName>
    <definedName name="OSRRefD21_21x_2" localSheetId="50">'301'!$F$93:$F$94</definedName>
    <definedName name="OSRRefD21_21x_2" localSheetId="72">'310 &amp; 491'!$F$115</definedName>
    <definedName name="OSRRefD21_21x_2" localSheetId="57">'331'!$F$159</definedName>
    <definedName name="OSRRefD21_21x_2" localSheetId="73">'491'!$F$108</definedName>
    <definedName name="OSRRefD21_21x_2" localSheetId="47">'Div 3'!$F$203:$F$211</definedName>
    <definedName name="OSRRefD21_21x_2" localSheetId="71">'Div 4'!$F$113</definedName>
    <definedName name="OSRRefD21_21x_2" localSheetId="2">Summary!$F$234:$F$235</definedName>
    <definedName name="OSRRefD21_21x_3" localSheetId="48">'300'!$G$207:$G$208</definedName>
    <definedName name="OSRRefD21_21x_3" localSheetId="49">'300 &amp; 317'!$G$231:$G$232</definedName>
    <definedName name="OSRRefD21_21x_3" localSheetId="50">'301'!$G$93:$G$94</definedName>
    <definedName name="OSRRefD21_21x_3" localSheetId="72">'310 &amp; 491'!$G$115</definedName>
    <definedName name="OSRRefD21_21x_3" localSheetId="57">'331'!$G$159</definedName>
    <definedName name="OSRRefD21_21x_3" localSheetId="73">'491'!$G$108</definedName>
    <definedName name="OSRRefD21_21x_3" localSheetId="47">'Div 3'!$G$203:$G$211</definedName>
    <definedName name="OSRRefD21_21x_3" localSheetId="71">'Div 4'!$G$113</definedName>
    <definedName name="OSRRefD21_21x_3" localSheetId="2">Summary!$G$234:$G$235</definedName>
    <definedName name="OSRRefD21_21x_4" localSheetId="48">'300'!$H$207:$H$208</definedName>
    <definedName name="OSRRefD21_21x_4" localSheetId="49">'300 &amp; 317'!$H$231:$H$232</definedName>
    <definedName name="OSRRefD21_21x_4" localSheetId="50">'301'!$H$93:$H$94</definedName>
    <definedName name="OSRRefD21_21x_4" localSheetId="72">'310 &amp; 491'!$H$115</definedName>
    <definedName name="OSRRefD21_21x_4" localSheetId="57">'331'!$H$159</definedName>
    <definedName name="OSRRefD21_21x_4" localSheetId="73">'491'!$H$108</definedName>
    <definedName name="OSRRefD21_21x_4" localSheetId="47">'Div 3'!$H$203:$H$211</definedName>
    <definedName name="OSRRefD21_21x_4" localSheetId="71">'Div 4'!$H$113</definedName>
    <definedName name="OSRRefD21_21x_4" localSheetId="2">Summary!$H$234:$H$235</definedName>
    <definedName name="OSRRefD21_21x_5" localSheetId="48">'300'!$I$207:$I$208</definedName>
    <definedName name="OSRRefD21_21x_5" localSheetId="49">'300 &amp; 317'!$I$231:$I$232</definedName>
    <definedName name="OSRRefD21_21x_5" localSheetId="50">'301'!$I$93:$I$94</definedName>
    <definedName name="OSRRefD21_21x_5" localSheetId="72">'310 &amp; 491'!$I$115</definedName>
    <definedName name="OSRRefD21_21x_5" localSheetId="57">'331'!$I$159</definedName>
    <definedName name="OSRRefD21_21x_5" localSheetId="73">'491'!$I$108</definedName>
    <definedName name="OSRRefD21_21x_5" localSheetId="47">'Div 3'!$I$203:$I$211</definedName>
    <definedName name="OSRRefD21_21x_5" localSheetId="71">'Div 4'!$I$113</definedName>
    <definedName name="OSRRefD21_21x_5" localSheetId="2">Summary!$I$234:$I$235</definedName>
    <definedName name="OSRRefD21_21x_6" localSheetId="48">'300'!$J$207:$J$208</definedName>
    <definedName name="OSRRefD21_21x_6" localSheetId="49">'300 &amp; 317'!$J$231:$J$232</definedName>
    <definedName name="OSRRefD21_21x_6" localSheetId="50">'301'!$J$93:$J$94</definedName>
    <definedName name="OSRRefD21_21x_6" localSheetId="72">'310 &amp; 491'!$J$115</definedName>
    <definedName name="OSRRefD21_21x_6" localSheetId="57">'331'!$J$159</definedName>
    <definedName name="OSRRefD21_21x_6" localSheetId="73">'491'!$J$108</definedName>
    <definedName name="OSRRefD21_21x_6" localSheetId="47">'Div 3'!$J$203:$J$211</definedName>
    <definedName name="OSRRefD21_21x_6" localSheetId="71">'Div 4'!$J$113</definedName>
    <definedName name="OSRRefD21_21x_6" localSheetId="2">Summary!$J$234:$J$235</definedName>
    <definedName name="OSRRefD21_21x_7" localSheetId="48">'300'!$K$207:$K$208</definedName>
    <definedName name="OSRRefD21_21x_7" localSheetId="49">'300 &amp; 317'!$K$231:$K$232</definedName>
    <definedName name="OSRRefD21_21x_7" localSheetId="50">'301'!$K$93:$K$94</definedName>
    <definedName name="OSRRefD21_21x_7" localSheetId="72">'310 &amp; 491'!$K$115</definedName>
    <definedName name="OSRRefD21_21x_7" localSheetId="57">'331'!$K$159</definedName>
    <definedName name="OSRRefD21_21x_7" localSheetId="73">'491'!$K$108</definedName>
    <definedName name="OSRRefD21_21x_7" localSheetId="47">'Div 3'!$K$203:$K$211</definedName>
    <definedName name="OSRRefD21_21x_7" localSheetId="71">'Div 4'!$K$113</definedName>
    <definedName name="OSRRefD21_21x_7" localSheetId="2">Summary!$K$234:$K$235</definedName>
    <definedName name="OSRRefD21_21x_8" localSheetId="48">'300'!$L$207:$L$208</definedName>
    <definedName name="OSRRefD21_21x_8" localSheetId="49">'300 &amp; 317'!$L$231:$L$232</definedName>
    <definedName name="OSRRefD21_21x_8" localSheetId="50">'301'!$L$93:$L$94</definedName>
    <definedName name="OSRRefD21_21x_8" localSheetId="72">'310 &amp; 491'!$L$115</definedName>
    <definedName name="OSRRefD21_21x_8" localSheetId="57">'331'!$L$159</definedName>
    <definedName name="OSRRefD21_21x_8" localSheetId="73">'491'!$L$108</definedName>
    <definedName name="OSRRefD21_21x_8" localSheetId="47">'Div 3'!$L$203:$L$211</definedName>
    <definedName name="OSRRefD21_21x_8" localSheetId="71">'Div 4'!$L$113</definedName>
    <definedName name="OSRRefD21_21x_8" localSheetId="2">Summary!$L$234:$L$235</definedName>
    <definedName name="OSRRefD21_21x_9" localSheetId="48">'300'!$M$207:$M$208</definedName>
    <definedName name="OSRRefD21_21x_9" localSheetId="49">'300 &amp; 317'!$M$231:$M$232</definedName>
    <definedName name="OSRRefD21_21x_9" localSheetId="50">'301'!$M$93:$M$94</definedName>
    <definedName name="OSRRefD21_21x_9" localSheetId="72">'310 &amp; 491'!$M$115</definedName>
    <definedName name="OSRRefD21_21x_9" localSheetId="57">'331'!$M$159</definedName>
    <definedName name="OSRRefD21_21x_9" localSheetId="73">'491'!$M$108</definedName>
    <definedName name="OSRRefD21_21x_9" localSheetId="47">'Div 3'!$M$203:$M$211</definedName>
    <definedName name="OSRRefD21_21x_9" localSheetId="71">'Div 4'!$M$113</definedName>
    <definedName name="OSRRefD21_21x_9" localSheetId="2">Summary!$M$234:$M$235</definedName>
    <definedName name="OSRRefD21_22_0x" localSheetId="48">'300'!$D$210:$M$210</definedName>
    <definedName name="OSRRefD21_22_0x" localSheetId="49">'300 &amp; 317'!$D$234:$M$234</definedName>
    <definedName name="OSRRefD21_22_0x" localSheetId="50">'301'!$D$96:$M$96</definedName>
    <definedName name="OSRRefD21_22_0x" localSheetId="72">'310 &amp; 491'!$D$117:$M$117</definedName>
    <definedName name="OSRRefD21_22_0x" localSheetId="73">'491'!$D$110:$M$110</definedName>
    <definedName name="OSRRefD21_22_0x" localSheetId="47">'Div 3'!$D$213:$M$213</definedName>
    <definedName name="OSRRefD21_22_0x" localSheetId="71">'Div 4'!$D$115:$M$115</definedName>
    <definedName name="OSRRefD21_22_0x" localSheetId="2">Summary!$D$237:$M$237</definedName>
    <definedName name="OSRRefD21_22_10x" localSheetId="2">Summary!$D$247:$M$247</definedName>
    <definedName name="OSRRefD21_22_1x" localSheetId="47">'Div 3'!$D$214:$M$214</definedName>
    <definedName name="OSRRefD21_22_1x" localSheetId="71">'Div 4'!$D$116:$M$116</definedName>
    <definedName name="OSRRefD21_22_1x" localSheetId="2">Summary!$D$238:$M$238</definedName>
    <definedName name="OSRRefD21_22_2x" localSheetId="71">'Div 4'!$D$117:$M$117</definedName>
    <definedName name="OSRRefD21_22_2x" localSheetId="2">Summary!$D$239:$M$239</definedName>
    <definedName name="OSRRefD21_22_3x" localSheetId="2">Summary!$D$240:$M$240</definedName>
    <definedName name="OSRRefD21_22_4x" localSheetId="2">Summary!$D$241:$M$241</definedName>
    <definedName name="OSRRefD21_22_5x" localSheetId="2">Summary!$D$242:$M$242</definedName>
    <definedName name="OSRRefD21_22_6x" localSheetId="2">Summary!$D$243:$M$243</definedName>
    <definedName name="OSRRefD21_22_7x" localSheetId="2">Summary!$D$244:$M$244</definedName>
    <definedName name="OSRRefD21_22_8x" localSheetId="2">Summary!$D$245:$M$245</definedName>
    <definedName name="OSRRefD21_22_9x" localSheetId="2">Summary!$D$246:$M$246</definedName>
    <definedName name="OSRRefD21_22x_0" localSheetId="48">'300'!$D$210</definedName>
    <definedName name="OSRRefD21_22x_0" localSheetId="49">'300 &amp; 317'!$D$234</definedName>
    <definedName name="OSRRefD21_22x_0" localSheetId="50">'301'!$D$96</definedName>
    <definedName name="OSRRefD21_22x_0" localSheetId="72">'310 &amp; 491'!$D$117</definedName>
    <definedName name="OSRRefD21_22x_0" localSheetId="73">'491'!$D$110</definedName>
    <definedName name="OSRRefD21_22x_0" localSheetId="47">'Div 3'!$D$213:$D$214</definedName>
    <definedName name="OSRRefD21_22x_0" localSheetId="71">'Div 4'!$D$115:$D$117</definedName>
    <definedName name="OSRRefD21_22x_0" localSheetId="2">Summary!$D$237:$D$247</definedName>
    <definedName name="OSRRefD21_22x_1" localSheetId="48">'300'!$E$210</definedName>
    <definedName name="OSRRefD21_22x_1" localSheetId="49">'300 &amp; 317'!$E$234</definedName>
    <definedName name="OSRRefD21_22x_1" localSheetId="50">'301'!$E$96</definedName>
    <definedName name="OSRRefD21_22x_1" localSheetId="72">'310 &amp; 491'!$E$117</definedName>
    <definedName name="OSRRefD21_22x_1" localSheetId="73">'491'!$E$110</definedName>
    <definedName name="OSRRefD21_22x_1" localSheetId="47">'Div 3'!$E$213:$E$214</definedName>
    <definedName name="OSRRefD21_22x_1" localSheetId="71">'Div 4'!$E$115:$E$117</definedName>
    <definedName name="OSRRefD21_22x_1" localSheetId="2">Summary!$E$237:$E$247</definedName>
    <definedName name="OSRRefD21_22x_2" localSheetId="48">'300'!$F$210</definedName>
    <definedName name="OSRRefD21_22x_2" localSheetId="49">'300 &amp; 317'!$F$234</definedName>
    <definedName name="OSRRefD21_22x_2" localSheetId="50">'301'!$F$96</definedName>
    <definedName name="OSRRefD21_22x_2" localSheetId="72">'310 &amp; 491'!$F$117</definedName>
    <definedName name="OSRRefD21_22x_2" localSheetId="73">'491'!$F$110</definedName>
    <definedName name="OSRRefD21_22x_2" localSheetId="47">'Div 3'!$F$213:$F$214</definedName>
    <definedName name="OSRRefD21_22x_2" localSheetId="71">'Div 4'!$F$115:$F$117</definedName>
    <definedName name="OSRRefD21_22x_2" localSheetId="2">Summary!$F$237:$F$247</definedName>
    <definedName name="OSRRefD21_22x_3" localSheetId="48">'300'!$G$210</definedName>
    <definedName name="OSRRefD21_22x_3" localSheetId="49">'300 &amp; 317'!$G$234</definedName>
    <definedName name="OSRRefD21_22x_3" localSheetId="50">'301'!$G$96</definedName>
    <definedName name="OSRRefD21_22x_3" localSheetId="72">'310 &amp; 491'!$G$117</definedName>
    <definedName name="OSRRefD21_22x_3" localSheetId="73">'491'!$G$110</definedName>
    <definedName name="OSRRefD21_22x_3" localSheetId="47">'Div 3'!$G$213:$G$214</definedName>
    <definedName name="OSRRefD21_22x_3" localSheetId="71">'Div 4'!$G$115:$G$117</definedName>
    <definedName name="OSRRefD21_22x_3" localSheetId="2">Summary!$G$237:$G$247</definedName>
    <definedName name="OSRRefD21_22x_4" localSheetId="48">'300'!$H$210</definedName>
    <definedName name="OSRRefD21_22x_4" localSheetId="49">'300 &amp; 317'!$H$234</definedName>
    <definedName name="OSRRefD21_22x_4" localSheetId="50">'301'!$H$96</definedName>
    <definedName name="OSRRefD21_22x_4" localSheetId="72">'310 &amp; 491'!$H$117</definedName>
    <definedName name="OSRRefD21_22x_4" localSheetId="73">'491'!$H$110</definedName>
    <definedName name="OSRRefD21_22x_4" localSheetId="47">'Div 3'!$H$213:$H$214</definedName>
    <definedName name="OSRRefD21_22x_4" localSheetId="71">'Div 4'!$H$115:$H$117</definedName>
    <definedName name="OSRRefD21_22x_4" localSheetId="2">Summary!$H$237:$H$247</definedName>
    <definedName name="OSRRefD21_22x_5" localSheetId="48">'300'!$I$210</definedName>
    <definedName name="OSRRefD21_22x_5" localSheetId="49">'300 &amp; 317'!$I$234</definedName>
    <definedName name="OSRRefD21_22x_5" localSheetId="50">'301'!$I$96</definedName>
    <definedName name="OSRRefD21_22x_5" localSheetId="72">'310 &amp; 491'!$I$117</definedName>
    <definedName name="OSRRefD21_22x_5" localSheetId="73">'491'!$I$110</definedName>
    <definedName name="OSRRefD21_22x_5" localSheetId="47">'Div 3'!$I$213:$I$214</definedName>
    <definedName name="OSRRefD21_22x_5" localSheetId="71">'Div 4'!$I$115:$I$117</definedName>
    <definedName name="OSRRefD21_22x_5" localSheetId="2">Summary!$I$237:$I$247</definedName>
    <definedName name="OSRRefD21_22x_6" localSheetId="48">'300'!$J$210</definedName>
    <definedName name="OSRRefD21_22x_6" localSheetId="49">'300 &amp; 317'!$J$234</definedName>
    <definedName name="OSRRefD21_22x_6" localSheetId="50">'301'!$J$96</definedName>
    <definedName name="OSRRefD21_22x_6" localSheetId="72">'310 &amp; 491'!$J$117</definedName>
    <definedName name="OSRRefD21_22x_6" localSheetId="73">'491'!$J$110</definedName>
    <definedName name="OSRRefD21_22x_6" localSheetId="47">'Div 3'!$J$213:$J$214</definedName>
    <definedName name="OSRRefD21_22x_6" localSheetId="71">'Div 4'!$J$115:$J$117</definedName>
    <definedName name="OSRRefD21_22x_6" localSheetId="2">Summary!$J$237:$J$247</definedName>
    <definedName name="OSRRefD21_22x_7" localSheetId="48">'300'!$K$210</definedName>
    <definedName name="OSRRefD21_22x_7" localSheetId="49">'300 &amp; 317'!$K$234</definedName>
    <definedName name="OSRRefD21_22x_7" localSheetId="50">'301'!$K$96</definedName>
    <definedName name="OSRRefD21_22x_7" localSheetId="72">'310 &amp; 491'!$K$117</definedName>
    <definedName name="OSRRefD21_22x_7" localSheetId="73">'491'!$K$110</definedName>
    <definedName name="OSRRefD21_22x_7" localSheetId="47">'Div 3'!$K$213:$K$214</definedName>
    <definedName name="OSRRefD21_22x_7" localSheetId="71">'Div 4'!$K$115:$K$117</definedName>
    <definedName name="OSRRefD21_22x_7" localSheetId="2">Summary!$K$237:$K$247</definedName>
    <definedName name="OSRRefD21_22x_8" localSheetId="48">'300'!$L$210</definedName>
    <definedName name="OSRRefD21_22x_8" localSheetId="49">'300 &amp; 317'!$L$234</definedName>
    <definedName name="OSRRefD21_22x_8" localSheetId="50">'301'!$L$96</definedName>
    <definedName name="OSRRefD21_22x_8" localSheetId="72">'310 &amp; 491'!$L$117</definedName>
    <definedName name="OSRRefD21_22x_8" localSheetId="73">'491'!$L$110</definedName>
    <definedName name="OSRRefD21_22x_8" localSheetId="47">'Div 3'!$L$213:$L$214</definedName>
    <definedName name="OSRRefD21_22x_8" localSheetId="71">'Div 4'!$L$115:$L$117</definedName>
    <definedName name="OSRRefD21_22x_8" localSheetId="2">Summary!$L$237:$L$247</definedName>
    <definedName name="OSRRefD21_22x_9" localSheetId="48">'300'!$M$210</definedName>
    <definedName name="OSRRefD21_22x_9" localSheetId="49">'300 &amp; 317'!$M$234</definedName>
    <definedName name="OSRRefD21_22x_9" localSheetId="50">'301'!$M$96</definedName>
    <definedName name="OSRRefD21_22x_9" localSheetId="72">'310 &amp; 491'!$M$117</definedName>
    <definedName name="OSRRefD21_22x_9" localSheetId="73">'491'!$M$110</definedName>
    <definedName name="OSRRefD21_22x_9" localSheetId="47">'Div 3'!$M$213:$M$214</definedName>
    <definedName name="OSRRefD21_22x_9" localSheetId="71">'Div 4'!$M$115:$M$117</definedName>
    <definedName name="OSRRefD21_22x_9" localSheetId="2">Summary!$M$237:$M$247</definedName>
    <definedName name="OSRRefD21_23_0x" localSheetId="48">'300'!$D$212:$M$212</definedName>
    <definedName name="OSRRefD21_23_0x" localSheetId="49">'300 &amp; 317'!$D$236:$M$236</definedName>
    <definedName name="OSRRefD21_23_0x" localSheetId="47">'Div 3'!$D$216:$M$216</definedName>
    <definedName name="OSRRefD21_23_0x" localSheetId="71">'Div 4'!$D$119:$M$119</definedName>
    <definedName name="OSRRefD21_23_0x" localSheetId="2">Summary!$D$249:$M$249</definedName>
    <definedName name="OSRRefD21_23_1x" localSheetId="48">'300'!$D$213:$M$213</definedName>
    <definedName name="OSRRefD21_23_1x" localSheetId="49">'300 &amp; 317'!$D$237:$M$237</definedName>
    <definedName name="OSRRefD21_23_1x" localSheetId="2">Summary!$D$250:$M$250</definedName>
    <definedName name="OSRRefD21_23_2x" localSheetId="48">'300'!$D$214:$M$214</definedName>
    <definedName name="OSRRefD21_23_2x" localSheetId="49">'300 &amp; 317'!$D$238:$M$238</definedName>
    <definedName name="OSRRefD21_23x_0" localSheetId="48">'300'!$D$212:$D$214</definedName>
    <definedName name="OSRRefD21_23x_0" localSheetId="49">'300 &amp; 317'!$D$236:$D$238</definedName>
    <definedName name="OSRRefD21_23x_0" localSheetId="47">'Div 3'!$D$216</definedName>
    <definedName name="OSRRefD21_23x_0" localSheetId="71">'Div 4'!$D$119</definedName>
    <definedName name="OSRRefD21_23x_0" localSheetId="2">Summary!$D$249:$D$250</definedName>
    <definedName name="OSRRefD21_23x_1" localSheetId="48">'300'!$E$212:$E$214</definedName>
    <definedName name="OSRRefD21_23x_1" localSheetId="49">'300 &amp; 317'!$E$236:$E$238</definedName>
    <definedName name="OSRRefD21_23x_1" localSheetId="47">'Div 3'!$E$216</definedName>
    <definedName name="OSRRefD21_23x_1" localSheetId="71">'Div 4'!$E$119</definedName>
    <definedName name="OSRRefD21_23x_1" localSheetId="2">Summary!$E$249:$E$250</definedName>
    <definedName name="OSRRefD21_23x_2" localSheetId="48">'300'!$F$212:$F$214</definedName>
    <definedName name="OSRRefD21_23x_2" localSheetId="49">'300 &amp; 317'!$F$236:$F$238</definedName>
    <definedName name="OSRRefD21_23x_2" localSheetId="47">'Div 3'!$F$216</definedName>
    <definedName name="OSRRefD21_23x_2" localSheetId="71">'Div 4'!$F$119</definedName>
    <definedName name="OSRRefD21_23x_2" localSheetId="2">Summary!$F$249:$F$250</definedName>
    <definedName name="OSRRefD21_23x_3" localSheetId="48">'300'!$G$212:$G$214</definedName>
    <definedName name="OSRRefD21_23x_3" localSheetId="49">'300 &amp; 317'!$G$236:$G$238</definedName>
    <definedName name="OSRRefD21_23x_3" localSheetId="47">'Div 3'!$G$216</definedName>
    <definedName name="OSRRefD21_23x_3" localSheetId="71">'Div 4'!$G$119</definedName>
    <definedName name="OSRRefD21_23x_3" localSheetId="2">Summary!$G$249:$G$250</definedName>
    <definedName name="OSRRefD21_23x_4" localSheetId="48">'300'!$H$212:$H$214</definedName>
    <definedName name="OSRRefD21_23x_4" localSheetId="49">'300 &amp; 317'!$H$236:$H$238</definedName>
    <definedName name="OSRRefD21_23x_4" localSheetId="47">'Div 3'!$H$216</definedName>
    <definedName name="OSRRefD21_23x_4" localSheetId="71">'Div 4'!$H$119</definedName>
    <definedName name="OSRRefD21_23x_4" localSheetId="2">Summary!$H$249:$H$250</definedName>
    <definedName name="OSRRefD21_23x_5" localSheetId="48">'300'!$I$212:$I$214</definedName>
    <definedName name="OSRRefD21_23x_5" localSheetId="49">'300 &amp; 317'!$I$236:$I$238</definedName>
    <definedName name="OSRRefD21_23x_5" localSheetId="47">'Div 3'!$I$216</definedName>
    <definedName name="OSRRefD21_23x_5" localSheetId="71">'Div 4'!$I$119</definedName>
    <definedName name="OSRRefD21_23x_5" localSheetId="2">Summary!$I$249:$I$250</definedName>
    <definedName name="OSRRefD21_23x_6" localSheetId="48">'300'!$J$212:$J$214</definedName>
    <definedName name="OSRRefD21_23x_6" localSheetId="49">'300 &amp; 317'!$J$236:$J$238</definedName>
    <definedName name="OSRRefD21_23x_6" localSheetId="47">'Div 3'!$J$216</definedName>
    <definedName name="OSRRefD21_23x_6" localSheetId="71">'Div 4'!$J$119</definedName>
    <definedName name="OSRRefD21_23x_6" localSheetId="2">Summary!$J$249:$J$250</definedName>
    <definedName name="OSRRefD21_23x_7" localSheetId="48">'300'!$K$212:$K$214</definedName>
    <definedName name="OSRRefD21_23x_7" localSheetId="49">'300 &amp; 317'!$K$236:$K$238</definedName>
    <definedName name="OSRRefD21_23x_7" localSheetId="47">'Div 3'!$K$216</definedName>
    <definedName name="OSRRefD21_23x_7" localSheetId="71">'Div 4'!$K$119</definedName>
    <definedName name="OSRRefD21_23x_7" localSheetId="2">Summary!$K$249:$K$250</definedName>
    <definedName name="OSRRefD21_23x_8" localSheetId="48">'300'!$L$212:$L$214</definedName>
    <definedName name="OSRRefD21_23x_8" localSheetId="49">'300 &amp; 317'!$L$236:$L$238</definedName>
    <definedName name="OSRRefD21_23x_8" localSheetId="47">'Div 3'!$L$216</definedName>
    <definedName name="OSRRefD21_23x_8" localSheetId="71">'Div 4'!$L$119</definedName>
    <definedName name="OSRRefD21_23x_8" localSheetId="2">Summary!$L$249:$L$250</definedName>
    <definedName name="OSRRefD21_23x_9" localSheetId="48">'300'!$M$212:$M$214</definedName>
    <definedName name="OSRRefD21_23x_9" localSheetId="49">'300 &amp; 317'!$M$236:$M$238</definedName>
    <definedName name="OSRRefD21_23x_9" localSheetId="47">'Div 3'!$M$216</definedName>
    <definedName name="OSRRefD21_23x_9" localSheetId="71">'Div 4'!$M$119</definedName>
    <definedName name="OSRRefD21_23x_9" localSheetId="2">Summary!$M$249:$M$250</definedName>
    <definedName name="OSRRefD21_24_0x" localSheetId="48">'300'!$D$216:$M$216</definedName>
    <definedName name="OSRRefD21_24_0x" localSheetId="49">'300 &amp; 317'!$D$240:$M$240</definedName>
    <definedName name="OSRRefD21_24_0x" localSheetId="47">'Div 3'!$D$218:$M$218</definedName>
    <definedName name="OSRRefD21_24_0x" localSheetId="2">Summary!$D$252:$M$252</definedName>
    <definedName name="OSRRefD21_24_1x" localSheetId="47">'Div 3'!$D$219:$M$219</definedName>
    <definedName name="OSRRefD21_24_2x" localSheetId="47">'Div 3'!$D$220:$M$220</definedName>
    <definedName name="OSRRefD21_24x_0" localSheetId="48">'300'!$D$216</definedName>
    <definedName name="OSRRefD21_24x_0" localSheetId="49">'300 &amp; 317'!$D$240</definedName>
    <definedName name="OSRRefD21_24x_0" localSheetId="47">'Div 3'!$D$218:$D$220</definedName>
    <definedName name="OSRRefD21_24x_0" localSheetId="2">Summary!$D$252</definedName>
    <definedName name="OSRRefD21_24x_1" localSheetId="48">'300'!$E$216</definedName>
    <definedName name="OSRRefD21_24x_1" localSheetId="49">'300 &amp; 317'!$E$240</definedName>
    <definedName name="OSRRefD21_24x_1" localSheetId="47">'Div 3'!$E$218:$E$220</definedName>
    <definedName name="OSRRefD21_24x_1" localSheetId="2">Summary!$E$252</definedName>
    <definedName name="OSRRefD21_24x_2" localSheetId="48">'300'!$F$216</definedName>
    <definedName name="OSRRefD21_24x_2" localSheetId="49">'300 &amp; 317'!$F$240</definedName>
    <definedName name="OSRRefD21_24x_2" localSheetId="47">'Div 3'!$F$218:$F$220</definedName>
    <definedName name="OSRRefD21_24x_2" localSheetId="2">Summary!$F$252</definedName>
    <definedName name="OSRRefD21_24x_3" localSheetId="48">'300'!$G$216</definedName>
    <definedName name="OSRRefD21_24x_3" localSheetId="49">'300 &amp; 317'!$G$240</definedName>
    <definedName name="OSRRefD21_24x_3" localSheetId="47">'Div 3'!$G$218:$G$220</definedName>
    <definedName name="OSRRefD21_24x_3" localSheetId="2">Summary!$G$252</definedName>
    <definedName name="OSRRefD21_24x_4" localSheetId="48">'300'!$H$216</definedName>
    <definedName name="OSRRefD21_24x_4" localSheetId="49">'300 &amp; 317'!$H$240</definedName>
    <definedName name="OSRRefD21_24x_4" localSheetId="47">'Div 3'!$H$218:$H$220</definedName>
    <definedName name="OSRRefD21_24x_4" localSheetId="2">Summary!$H$252</definedName>
    <definedName name="OSRRefD21_24x_5" localSheetId="48">'300'!$I$216</definedName>
    <definedName name="OSRRefD21_24x_5" localSheetId="49">'300 &amp; 317'!$I$240</definedName>
    <definedName name="OSRRefD21_24x_5" localSheetId="47">'Div 3'!$I$218:$I$220</definedName>
    <definedName name="OSRRefD21_24x_5" localSheetId="2">Summary!$I$252</definedName>
    <definedName name="OSRRefD21_24x_6" localSheetId="48">'300'!$J$216</definedName>
    <definedName name="OSRRefD21_24x_6" localSheetId="49">'300 &amp; 317'!$J$240</definedName>
    <definedName name="OSRRefD21_24x_6" localSheetId="47">'Div 3'!$J$218:$J$220</definedName>
    <definedName name="OSRRefD21_24x_6" localSheetId="2">Summary!$J$252</definedName>
    <definedName name="OSRRefD21_24x_7" localSheetId="48">'300'!$K$216</definedName>
    <definedName name="OSRRefD21_24x_7" localSheetId="49">'300 &amp; 317'!$K$240</definedName>
    <definedName name="OSRRefD21_24x_7" localSheetId="47">'Div 3'!$K$218:$K$220</definedName>
    <definedName name="OSRRefD21_24x_7" localSheetId="2">Summary!$K$252</definedName>
    <definedName name="OSRRefD21_24x_8" localSheetId="48">'300'!$L$216</definedName>
    <definedName name="OSRRefD21_24x_8" localSheetId="49">'300 &amp; 317'!$L$240</definedName>
    <definedName name="OSRRefD21_24x_8" localSheetId="47">'Div 3'!$L$218:$L$220</definedName>
    <definedName name="OSRRefD21_24x_8" localSheetId="2">Summary!$L$252</definedName>
    <definedName name="OSRRefD21_24x_9" localSheetId="48">'300'!$M$216</definedName>
    <definedName name="OSRRefD21_24x_9" localSheetId="49">'300 &amp; 317'!$M$240</definedName>
    <definedName name="OSRRefD21_24x_9" localSheetId="47">'Div 3'!$M$218:$M$220</definedName>
    <definedName name="OSRRefD21_24x_9" localSheetId="2">Summary!$M$252</definedName>
    <definedName name="OSRRefD21_25_0x" localSheetId="47">'Div 3'!$D$222:$M$222</definedName>
    <definedName name="OSRRefD21_25_0x" localSheetId="2">Summary!$D$254:$M$254</definedName>
    <definedName name="OSRRefD21_25_1x" localSheetId="2">Summary!$D$255:$M$255</definedName>
    <definedName name="OSRRefD21_25_2x" localSheetId="2">Summary!$D$256:$M$256</definedName>
    <definedName name="OSRRefD21_25x_0" localSheetId="47">'Div 3'!$D$222</definedName>
    <definedName name="OSRRefD21_25x_0" localSheetId="2">Summary!$D$254:$D$256</definedName>
    <definedName name="OSRRefD21_25x_1" localSheetId="47">'Div 3'!$E$222</definedName>
    <definedName name="OSRRefD21_25x_1" localSheetId="2">Summary!$E$254:$E$256</definedName>
    <definedName name="OSRRefD21_25x_2" localSheetId="47">'Div 3'!$F$222</definedName>
    <definedName name="OSRRefD21_25x_2" localSheetId="2">Summary!$F$254:$F$256</definedName>
    <definedName name="OSRRefD21_25x_3" localSheetId="47">'Div 3'!$G$222</definedName>
    <definedName name="OSRRefD21_25x_3" localSheetId="2">Summary!$G$254:$G$256</definedName>
    <definedName name="OSRRefD21_25x_4" localSheetId="47">'Div 3'!$H$222</definedName>
    <definedName name="OSRRefD21_25x_4" localSheetId="2">Summary!$H$254:$H$256</definedName>
    <definedName name="OSRRefD21_25x_5" localSheetId="47">'Div 3'!$I$222</definedName>
    <definedName name="OSRRefD21_25x_5" localSheetId="2">Summary!$I$254:$I$256</definedName>
    <definedName name="OSRRefD21_25x_6" localSheetId="47">'Div 3'!$J$222</definedName>
    <definedName name="OSRRefD21_25x_6" localSheetId="2">Summary!$J$254:$J$256</definedName>
    <definedName name="OSRRefD21_25x_7" localSheetId="47">'Div 3'!$K$222</definedName>
    <definedName name="OSRRefD21_25x_7" localSheetId="2">Summary!$K$254:$K$256</definedName>
    <definedName name="OSRRefD21_25x_8" localSheetId="47">'Div 3'!$L$222</definedName>
    <definedName name="OSRRefD21_25x_8" localSheetId="2">Summary!$L$254:$L$256</definedName>
    <definedName name="OSRRefD21_25x_9" localSheetId="47">'Div 3'!$M$222</definedName>
    <definedName name="OSRRefD21_25x_9" localSheetId="2">Summary!$M$254:$M$256</definedName>
    <definedName name="OSRRefD21_26_0x" localSheetId="2">Summary!$D$258:$M$258</definedName>
    <definedName name="OSRRefD21_26x_0" localSheetId="2">Summary!$D$258</definedName>
    <definedName name="OSRRefD21_26x_1" localSheetId="2">Summary!$E$258</definedName>
    <definedName name="OSRRefD21_26x_2" localSheetId="2">Summary!$F$258</definedName>
    <definedName name="OSRRefD21_26x_3" localSheetId="2">Summary!$G$258</definedName>
    <definedName name="OSRRefD21_26x_4" localSheetId="2">Summary!$H$258</definedName>
    <definedName name="OSRRefD21_26x_5" localSheetId="2">Summary!$I$258</definedName>
    <definedName name="OSRRefD21_26x_6" localSheetId="2">Summary!$J$258</definedName>
    <definedName name="OSRRefD21_26x_7" localSheetId="2">Summary!$K$258</definedName>
    <definedName name="OSRRefD21_26x_8" localSheetId="2">Summary!$L$258</definedName>
    <definedName name="OSRRefD21_26x_9" localSheetId="2">Summary!$M$258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'300'!$D$145</definedName>
    <definedName name="OSRRefD21_2x_0" localSheetId="49">'300 &amp; 317'!$D$169</definedName>
    <definedName name="OSRRefD21_2x_0" localSheetId="50">'301'!$D$42</definedName>
    <definedName name="OSRRefD21_2x_0" localSheetId="51">'306'!$D$40</definedName>
    <definedName name="OSRRefD21_2x_0" localSheetId="53">'307'!$D$58</definedName>
    <definedName name="OSRRefD21_2x_0" localSheetId="54">'308'!$D$80</definedName>
    <definedName name="OSRRefD21_2x_0" localSheetId="65">'309'!$D$41</definedName>
    <definedName name="OSRRefD21_2x_0" localSheetId="64">'310'!$D$50</definedName>
    <definedName name="OSRRefD21_2x_0" localSheetId="72">'310 &amp; 491'!$D$56</definedName>
    <definedName name="OSRRefD21_2x_0" localSheetId="55">'311'!$D$79</definedName>
    <definedName name="OSRRefD21_2x_0" localSheetId="66">'313'!$D$45</definedName>
    <definedName name="OSRRefD21_2x_0" localSheetId="58">'315'!$D$101</definedName>
    <definedName name="OSRRefD21_2x_0" localSheetId="61">'316'!$D$52</definedName>
    <definedName name="OSRRefD21_2x_0" localSheetId="63">'317'!$D$74</definedName>
    <definedName name="OSRRefD21_2x_0" localSheetId="67">'321'!$D$44</definedName>
    <definedName name="OSRRefD21_2x_0" localSheetId="68">'322'!$D$42</definedName>
    <definedName name="OSRRefD21_2x_0" localSheetId="69">'325'!$D$41</definedName>
    <definedName name="OSRRefD21_2x_0" localSheetId="59">'326'!$D$68</definedName>
    <definedName name="OSRRefD21_2x_0" localSheetId="52">'330'!$D$62</definedName>
    <definedName name="OSRRefD21_2x_0" localSheetId="57">'331'!$D$102</definedName>
    <definedName name="OSRRefD21_2x_0" localSheetId="60">'332'!$D$54</definedName>
    <definedName name="OSRRefD21_2x_0" localSheetId="74">'405'!$D$43</definedName>
    <definedName name="OSRRefD21_2x_0" localSheetId="75">'406'!$D$23</definedName>
    <definedName name="OSRRefD21_2x_0" localSheetId="76">'411'!$D$40</definedName>
    <definedName name="OSRRefD21_2x_0" localSheetId="77">'412'!$D$41</definedName>
    <definedName name="OSRRefD21_2x_0" localSheetId="78">'413'!$D$43</definedName>
    <definedName name="OSRRefD21_2x_0" localSheetId="79">'414'!$D$45</definedName>
    <definedName name="OSRRefD21_2x_0" localSheetId="80">'415'!$D$47</definedName>
    <definedName name="OSRRefD21_2x_0" localSheetId="81">'418'!$D$43</definedName>
    <definedName name="OSRRefD21_2x_0" localSheetId="83">'423'!$D$39</definedName>
    <definedName name="OSRRefD21_2x_0" localSheetId="84">'424'!$D$23</definedName>
    <definedName name="OSRRefD21_2x_0" localSheetId="85">'425'!$D$28</definedName>
    <definedName name="OSRRefD21_2x_0" localSheetId="88">'430'!$D$40</definedName>
    <definedName name="OSRRefD21_2x_0" localSheetId="89">'433'!$D$48</definedName>
    <definedName name="OSRRefD21_2x_0" localSheetId="91">'444'!$D$48</definedName>
    <definedName name="OSRRefD21_2x_0" localSheetId="92">'450'!$D$44</definedName>
    <definedName name="OSRRefD21_2x_0" localSheetId="73">'491'!$D$50</definedName>
    <definedName name="OSRRefD21_2x_0" localSheetId="87">'492'!$D$48</definedName>
    <definedName name="OSRRefD21_2x_0" localSheetId="94">'501'!$D$43</definedName>
    <definedName name="OSRRefD21_2x_0" localSheetId="39">'Div 2'!$D$42</definedName>
    <definedName name="OSRRefD21_2x_0" localSheetId="47">'Div 3'!$D$149</definedName>
    <definedName name="OSRRefD21_2x_0" localSheetId="71">'Div 4'!$D$53</definedName>
    <definedName name="OSRRefD21_2x_0" localSheetId="93">'Div 5'!$D$43</definedName>
    <definedName name="OSRRefD21_2x_0" localSheetId="62">'Div 6'!$D$74</definedName>
    <definedName name="OSRRefD21_2x_0" localSheetId="2">Summary!$D$179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'300'!$E$145</definedName>
    <definedName name="OSRRefD21_2x_1" localSheetId="49">'300 &amp; 317'!$E$169</definedName>
    <definedName name="OSRRefD21_2x_1" localSheetId="50">'301'!$E$42</definedName>
    <definedName name="OSRRefD21_2x_1" localSheetId="51">'306'!$E$40</definedName>
    <definedName name="OSRRefD21_2x_1" localSheetId="53">'307'!$E$58</definedName>
    <definedName name="OSRRefD21_2x_1" localSheetId="54">'308'!$E$80</definedName>
    <definedName name="OSRRefD21_2x_1" localSheetId="65">'309'!$E$41</definedName>
    <definedName name="OSRRefD21_2x_1" localSheetId="64">'310'!$E$50</definedName>
    <definedName name="OSRRefD21_2x_1" localSheetId="72">'310 &amp; 491'!$E$56</definedName>
    <definedName name="OSRRefD21_2x_1" localSheetId="55">'311'!$E$79</definedName>
    <definedName name="OSRRefD21_2x_1" localSheetId="66">'313'!$E$45</definedName>
    <definedName name="OSRRefD21_2x_1" localSheetId="58">'315'!$E$101</definedName>
    <definedName name="OSRRefD21_2x_1" localSheetId="61">'316'!$E$52</definedName>
    <definedName name="OSRRefD21_2x_1" localSheetId="63">'317'!$E$74</definedName>
    <definedName name="OSRRefD21_2x_1" localSheetId="67">'321'!$E$44</definedName>
    <definedName name="OSRRefD21_2x_1" localSheetId="68">'322'!$E$42</definedName>
    <definedName name="OSRRefD21_2x_1" localSheetId="69">'325'!$E$41</definedName>
    <definedName name="OSRRefD21_2x_1" localSheetId="59">'326'!$E$68</definedName>
    <definedName name="OSRRefD21_2x_1" localSheetId="52">'330'!$E$62</definedName>
    <definedName name="OSRRefD21_2x_1" localSheetId="57">'331'!$E$102</definedName>
    <definedName name="OSRRefD21_2x_1" localSheetId="60">'332'!$E$54</definedName>
    <definedName name="OSRRefD21_2x_1" localSheetId="74">'405'!$E$43</definedName>
    <definedName name="OSRRefD21_2x_1" localSheetId="75">'406'!$E$23</definedName>
    <definedName name="OSRRefD21_2x_1" localSheetId="76">'411'!$E$40</definedName>
    <definedName name="OSRRefD21_2x_1" localSheetId="77">'412'!$E$41</definedName>
    <definedName name="OSRRefD21_2x_1" localSheetId="78">'413'!$E$43</definedName>
    <definedName name="OSRRefD21_2x_1" localSheetId="79">'414'!$E$45</definedName>
    <definedName name="OSRRefD21_2x_1" localSheetId="80">'415'!$E$47</definedName>
    <definedName name="OSRRefD21_2x_1" localSheetId="81">'418'!$E$43</definedName>
    <definedName name="OSRRefD21_2x_1" localSheetId="83">'423'!$E$39</definedName>
    <definedName name="OSRRefD21_2x_1" localSheetId="84">'424'!$E$23</definedName>
    <definedName name="OSRRefD21_2x_1" localSheetId="85">'425'!$E$28</definedName>
    <definedName name="OSRRefD21_2x_1" localSheetId="88">'430'!$E$40</definedName>
    <definedName name="OSRRefD21_2x_1" localSheetId="89">'433'!$E$48</definedName>
    <definedName name="OSRRefD21_2x_1" localSheetId="91">'444'!$E$48</definedName>
    <definedName name="OSRRefD21_2x_1" localSheetId="92">'450'!$E$44</definedName>
    <definedName name="OSRRefD21_2x_1" localSheetId="73">'491'!$E$50</definedName>
    <definedName name="OSRRefD21_2x_1" localSheetId="87">'492'!$E$48</definedName>
    <definedName name="OSRRefD21_2x_1" localSheetId="94">'501'!$E$43</definedName>
    <definedName name="OSRRefD21_2x_1" localSheetId="39">'Div 2'!$E$42</definedName>
    <definedName name="OSRRefD21_2x_1" localSheetId="47">'Div 3'!$E$149</definedName>
    <definedName name="OSRRefD21_2x_1" localSheetId="71">'Div 4'!$E$53</definedName>
    <definedName name="OSRRefD21_2x_1" localSheetId="93">'Div 5'!$E$43</definedName>
    <definedName name="OSRRefD21_2x_1" localSheetId="62">'Div 6'!$E$74</definedName>
    <definedName name="OSRRefD21_2x_1" localSheetId="2">Summary!$E$179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'300'!$F$145</definedName>
    <definedName name="OSRRefD21_2x_2" localSheetId="49">'300 &amp; 317'!$F$169</definedName>
    <definedName name="OSRRefD21_2x_2" localSheetId="50">'301'!$F$42</definedName>
    <definedName name="OSRRefD21_2x_2" localSheetId="51">'306'!$F$40</definedName>
    <definedName name="OSRRefD21_2x_2" localSheetId="53">'307'!$F$58</definedName>
    <definedName name="OSRRefD21_2x_2" localSheetId="54">'308'!$F$80</definedName>
    <definedName name="OSRRefD21_2x_2" localSheetId="65">'309'!$F$41</definedName>
    <definedName name="OSRRefD21_2x_2" localSheetId="64">'310'!$F$50</definedName>
    <definedName name="OSRRefD21_2x_2" localSheetId="72">'310 &amp; 491'!$F$56</definedName>
    <definedName name="OSRRefD21_2x_2" localSheetId="55">'311'!$F$79</definedName>
    <definedName name="OSRRefD21_2x_2" localSheetId="66">'313'!$F$45</definedName>
    <definedName name="OSRRefD21_2x_2" localSheetId="58">'315'!$F$101</definedName>
    <definedName name="OSRRefD21_2x_2" localSheetId="61">'316'!$F$52</definedName>
    <definedName name="OSRRefD21_2x_2" localSheetId="63">'317'!$F$74</definedName>
    <definedName name="OSRRefD21_2x_2" localSheetId="67">'321'!$F$44</definedName>
    <definedName name="OSRRefD21_2x_2" localSheetId="68">'322'!$F$42</definedName>
    <definedName name="OSRRefD21_2x_2" localSheetId="69">'325'!$F$41</definedName>
    <definedName name="OSRRefD21_2x_2" localSheetId="59">'326'!$F$68</definedName>
    <definedName name="OSRRefD21_2x_2" localSheetId="52">'330'!$F$62</definedName>
    <definedName name="OSRRefD21_2x_2" localSheetId="57">'331'!$F$102</definedName>
    <definedName name="OSRRefD21_2x_2" localSheetId="60">'332'!$F$54</definedName>
    <definedName name="OSRRefD21_2x_2" localSheetId="74">'405'!$F$43</definedName>
    <definedName name="OSRRefD21_2x_2" localSheetId="75">'406'!$F$23</definedName>
    <definedName name="OSRRefD21_2x_2" localSheetId="76">'411'!$F$40</definedName>
    <definedName name="OSRRefD21_2x_2" localSheetId="77">'412'!$F$41</definedName>
    <definedName name="OSRRefD21_2x_2" localSheetId="78">'413'!$F$43</definedName>
    <definedName name="OSRRefD21_2x_2" localSheetId="79">'414'!$F$45</definedName>
    <definedName name="OSRRefD21_2x_2" localSheetId="80">'415'!$F$47</definedName>
    <definedName name="OSRRefD21_2x_2" localSheetId="81">'418'!$F$43</definedName>
    <definedName name="OSRRefD21_2x_2" localSheetId="83">'423'!$F$39</definedName>
    <definedName name="OSRRefD21_2x_2" localSheetId="84">'424'!$F$23</definedName>
    <definedName name="OSRRefD21_2x_2" localSheetId="85">'425'!$F$28</definedName>
    <definedName name="OSRRefD21_2x_2" localSheetId="88">'430'!$F$40</definedName>
    <definedName name="OSRRefD21_2x_2" localSheetId="89">'433'!$F$48</definedName>
    <definedName name="OSRRefD21_2x_2" localSheetId="91">'444'!$F$48</definedName>
    <definedName name="OSRRefD21_2x_2" localSheetId="92">'450'!$F$44</definedName>
    <definedName name="OSRRefD21_2x_2" localSheetId="73">'491'!$F$50</definedName>
    <definedName name="OSRRefD21_2x_2" localSheetId="87">'492'!$F$48</definedName>
    <definedName name="OSRRefD21_2x_2" localSheetId="94">'501'!$F$43</definedName>
    <definedName name="OSRRefD21_2x_2" localSheetId="39">'Div 2'!$F$42</definedName>
    <definedName name="OSRRefD21_2x_2" localSheetId="47">'Div 3'!$F$149</definedName>
    <definedName name="OSRRefD21_2x_2" localSheetId="71">'Div 4'!$F$53</definedName>
    <definedName name="OSRRefD21_2x_2" localSheetId="93">'Div 5'!$F$43</definedName>
    <definedName name="OSRRefD21_2x_2" localSheetId="62">'Div 6'!$F$74</definedName>
    <definedName name="OSRRefD21_2x_2" localSheetId="2">Summary!$F$179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'300'!$G$145</definedName>
    <definedName name="OSRRefD21_2x_3" localSheetId="49">'300 &amp; 317'!$G$169</definedName>
    <definedName name="OSRRefD21_2x_3" localSheetId="50">'301'!$G$42</definedName>
    <definedName name="OSRRefD21_2x_3" localSheetId="51">'306'!$G$40</definedName>
    <definedName name="OSRRefD21_2x_3" localSheetId="53">'307'!$G$58</definedName>
    <definedName name="OSRRefD21_2x_3" localSheetId="54">'308'!$G$80</definedName>
    <definedName name="OSRRefD21_2x_3" localSheetId="65">'309'!$G$41</definedName>
    <definedName name="OSRRefD21_2x_3" localSheetId="64">'310'!$G$50</definedName>
    <definedName name="OSRRefD21_2x_3" localSheetId="72">'310 &amp; 491'!$G$56</definedName>
    <definedName name="OSRRefD21_2x_3" localSheetId="55">'311'!$G$79</definedName>
    <definedName name="OSRRefD21_2x_3" localSheetId="66">'313'!$G$45</definedName>
    <definedName name="OSRRefD21_2x_3" localSheetId="58">'315'!$G$101</definedName>
    <definedName name="OSRRefD21_2x_3" localSheetId="61">'316'!$G$52</definedName>
    <definedName name="OSRRefD21_2x_3" localSheetId="63">'317'!$G$74</definedName>
    <definedName name="OSRRefD21_2x_3" localSheetId="67">'321'!$G$44</definedName>
    <definedName name="OSRRefD21_2x_3" localSheetId="68">'322'!$G$42</definedName>
    <definedName name="OSRRefD21_2x_3" localSheetId="69">'325'!$G$41</definedName>
    <definedName name="OSRRefD21_2x_3" localSheetId="59">'326'!$G$68</definedName>
    <definedName name="OSRRefD21_2x_3" localSheetId="52">'330'!$G$62</definedName>
    <definedName name="OSRRefD21_2x_3" localSheetId="57">'331'!$G$102</definedName>
    <definedName name="OSRRefD21_2x_3" localSheetId="60">'332'!$G$54</definedName>
    <definedName name="OSRRefD21_2x_3" localSheetId="74">'405'!$G$43</definedName>
    <definedName name="OSRRefD21_2x_3" localSheetId="75">'406'!$G$23</definedName>
    <definedName name="OSRRefD21_2x_3" localSheetId="76">'411'!$G$40</definedName>
    <definedName name="OSRRefD21_2x_3" localSheetId="77">'412'!$G$41</definedName>
    <definedName name="OSRRefD21_2x_3" localSheetId="78">'413'!$G$43</definedName>
    <definedName name="OSRRefD21_2x_3" localSheetId="79">'414'!$G$45</definedName>
    <definedName name="OSRRefD21_2x_3" localSheetId="80">'415'!$G$47</definedName>
    <definedName name="OSRRefD21_2x_3" localSheetId="81">'418'!$G$43</definedName>
    <definedName name="OSRRefD21_2x_3" localSheetId="83">'423'!$G$39</definedName>
    <definedName name="OSRRefD21_2x_3" localSheetId="84">'424'!$G$23</definedName>
    <definedName name="OSRRefD21_2x_3" localSheetId="85">'425'!$G$28</definedName>
    <definedName name="OSRRefD21_2x_3" localSheetId="88">'430'!$G$40</definedName>
    <definedName name="OSRRefD21_2x_3" localSheetId="89">'433'!$G$48</definedName>
    <definedName name="OSRRefD21_2x_3" localSheetId="91">'444'!$G$48</definedName>
    <definedName name="OSRRefD21_2x_3" localSheetId="92">'450'!$G$44</definedName>
    <definedName name="OSRRefD21_2x_3" localSheetId="73">'491'!$G$50</definedName>
    <definedName name="OSRRefD21_2x_3" localSheetId="87">'492'!$G$48</definedName>
    <definedName name="OSRRefD21_2x_3" localSheetId="94">'501'!$G$43</definedName>
    <definedName name="OSRRefD21_2x_3" localSheetId="39">'Div 2'!$G$42</definedName>
    <definedName name="OSRRefD21_2x_3" localSheetId="47">'Div 3'!$G$149</definedName>
    <definedName name="OSRRefD21_2x_3" localSheetId="71">'Div 4'!$G$53</definedName>
    <definedName name="OSRRefD21_2x_3" localSheetId="93">'Div 5'!$G$43</definedName>
    <definedName name="OSRRefD21_2x_3" localSheetId="62">'Div 6'!$G$74</definedName>
    <definedName name="OSRRefD21_2x_3" localSheetId="2">Summary!$G$179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</definedName>
    <definedName name="OSRRefD21_2x_4" localSheetId="45">'205'!$H$40</definedName>
    <definedName name="OSRRefD21_2x_4" localSheetId="46">'206'!$H$40</definedName>
    <definedName name="OSRRefD21_2x_4" localSheetId="48">'300'!$H$145</definedName>
    <definedName name="OSRRefD21_2x_4" localSheetId="49">'300 &amp; 317'!$H$169</definedName>
    <definedName name="OSRRefD21_2x_4" localSheetId="50">'301'!$H$42</definedName>
    <definedName name="OSRRefD21_2x_4" localSheetId="51">'306'!$H$40</definedName>
    <definedName name="OSRRefD21_2x_4" localSheetId="53">'307'!$H$58</definedName>
    <definedName name="OSRRefD21_2x_4" localSheetId="54">'308'!$H$80</definedName>
    <definedName name="OSRRefD21_2x_4" localSheetId="65">'309'!$H$41</definedName>
    <definedName name="OSRRefD21_2x_4" localSheetId="64">'310'!$H$50</definedName>
    <definedName name="OSRRefD21_2x_4" localSheetId="72">'310 &amp; 491'!$H$56</definedName>
    <definedName name="OSRRefD21_2x_4" localSheetId="55">'311'!$H$79</definedName>
    <definedName name="OSRRefD21_2x_4" localSheetId="66">'313'!$H$45</definedName>
    <definedName name="OSRRefD21_2x_4" localSheetId="58">'315'!$H$101</definedName>
    <definedName name="OSRRefD21_2x_4" localSheetId="61">'316'!$H$52</definedName>
    <definedName name="OSRRefD21_2x_4" localSheetId="63">'317'!$H$74</definedName>
    <definedName name="OSRRefD21_2x_4" localSheetId="67">'321'!$H$44</definedName>
    <definedName name="OSRRefD21_2x_4" localSheetId="68">'322'!$H$42</definedName>
    <definedName name="OSRRefD21_2x_4" localSheetId="69">'325'!$H$41</definedName>
    <definedName name="OSRRefD21_2x_4" localSheetId="59">'326'!$H$68</definedName>
    <definedName name="OSRRefD21_2x_4" localSheetId="52">'330'!$H$62</definedName>
    <definedName name="OSRRefD21_2x_4" localSheetId="57">'331'!$H$102</definedName>
    <definedName name="OSRRefD21_2x_4" localSheetId="60">'332'!$H$54</definedName>
    <definedName name="OSRRefD21_2x_4" localSheetId="74">'405'!$H$43</definedName>
    <definedName name="OSRRefD21_2x_4" localSheetId="75">'406'!$H$23</definedName>
    <definedName name="OSRRefD21_2x_4" localSheetId="76">'411'!$H$40</definedName>
    <definedName name="OSRRefD21_2x_4" localSheetId="77">'412'!$H$41</definedName>
    <definedName name="OSRRefD21_2x_4" localSheetId="78">'413'!$H$43</definedName>
    <definedName name="OSRRefD21_2x_4" localSheetId="79">'414'!$H$45</definedName>
    <definedName name="OSRRefD21_2x_4" localSheetId="80">'415'!$H$47</definedName>
    <definedName name="OSRRefD21_2x_4" localSheetId="81">'418'!$H$43</definedName>
    <definedName name="OSRRefD21_2x_4" localSheetId="83">'423'!$H$39</definedName>
    <definedName name="OSRRefD21_2x_4" localSheetId="84">'424'!$H$23</definedName>
    <definedName name="OSRRefD21_2x_4" localSheetId="85">'425'!$H$28</definedName>
    <definedName name="OSRRefD21_2x_4" localSheetId="88">'430'!$H$40</definedName>
    <definedName name="OSRRefD21_2x_4" localSheetId="89">'433'!$H$48</definedName>
    <definedName name="OSRRefD21_2x_4" localSheetId="91">'444'!$H$48</definedName>
    <definedName name="OSRRefD21_2x_4" localSheetId="92">'450'!$H$44</definedName>
    <definedName name="OSRRefD21_2x_4" localSheetId="73">'491'!$H$50</definedName>
    <definedName name="OSRRefD21_2x_4" localSheetId="87">'492'!$H$48</definedName>
    <definedName name="OSRRefD21_2x_4" localSheetId="94">'501'!$H$43</definedName>
    <definedName name="OSRRefD21_2x_4" localSheetId="39">'Div 2'!$H$42</definedName>
    <definedName name="OSRRefD21_2x_4" localSheetId="47">'Div 3'!$H$149</definedName>
    <definedName name="OSRRefD21_2x_4" localSheetId="71">'Div 4'!$H$53</definedName>
    <definedName name="OSRRefD21_2x_4" localSheetId="93">'Div 5'!$H$43</definedName>
    <definedName name="OSRRefD21_2x_4" localSheetId="62">'Div 6'!$H$74</definedName>
    <definedName name="OSRRefD21_2x_4" localSheetId="2">Summary!$H$179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</definedName>
    <definedName name="OSRRefD21_2x_5" localSheetId="45">'205'!$I$40</definedName>
    <definedName name="OSRRefD21_2x_5" localSheetId="46">'206'!$I$40</definedName>
    <definedName name="OSRRefD21_2x_5" localSheetId="48">'300'!$I$145</definedName>
    <definedName name="OSRRefD21_2x_5" localSheetId="49">'300 &amp; 317'!$I$169</definedName>
    <definedName name="OSRRefD21_2x_5" localSheetId="50">'301'!$I$42</definedName>
    <definedName name="OSRRefD21_2x_5" localSheetId="51">'306'!$I$40</definedName>
    <definedName name="OSRRefD21_2x_5" localSheetId="53">'307'!$I$58</definedName>
    <definedName name="OSRRefD21_2x_5" localSheetId="54">'308'!$I$80</definedName>
    <definedName name="OSRRefD21_2x_5" localSheetId="65">'309'!$I$41</definedName>
    <definedName name="OSRRefD21_2x_5" localSheetId="64">'310'!$I$50</definedName>
    <definedName name="OSRRefD21_2x_5" localSheetId="72">'310 &amp; 491'!$I$56</definedName>
    <definedName name="OSRRefD21_2x_5" localSheetId="55">'311'!$I$79</definedName>
    <definedName name="OSRRefD21_2x_5" localSheetId="66">'313'!$I$45</definedName>
    <definedName name="OSRRefD21_2x_5" localSheetId="58">'315'!$I$101</definedName>
    <definedName name="OSRRefD21_2x_5" localSheetId="61">'316'!$I$52</definedName>
    <definedName name="OSRRefD21_2x_5" localSheetId="63">'317'!$I$74</definedName>
    <definedName name="OSRRefD21_2x_5" localSheetId="67">'321'!$I$44</definedName>
    <definedName name="OSRRefD21_2x_5" localSheetId="68">'322'!$I$42</definedName>
    <definedName name="OSRRefD21_2x_5" localSheetId="69">'325'!$I$41</definedName>
    <definedName name="OSRRefD21_2x_5" localSheetId="59">'326'!$I$68</definedName>
    <definedName name="OSRRefD21_2x_5" localSheetId="52">'330'!$I$62</definedName>
    <definedName name="OSRRefD21_2x_5" localSheetId="57">'331'!$I$102</definedName>
    <definedName name="OSRRefD21_2x_5" localSheetId="60">'332'!$I$54</definedName>
    <definedName name="OSRRefD21_2x_5" localSheetId="74">'405'!$I$43</definedName>
    <definedName name="OSRRefD21_2x_5" localSheetId="75">'406'!$I$23</definedName>
    <definedName name="OSRRefD21_2x_5" localSheetId="76">'411'!$I$40</definedName>
    <definedName name="OSRRefD21_2x_5" localSheetId="77">'412'!$I$41</definedName>
    <definedName name="OSRRefD21_2x_5" localSheetId="78">'413'!$I$43</definedName>
    <definedName name="OSRRefD21_2x_5" localSheetId="79">'414'!$I$45</definedName>
    <definedName name="OSRRefD21_2x_5" localSheetId="80">'415'!$I$47</definedName>
    <definedName name="OSRRefD21_2x_5" localSheetId="81">'418'!$I$43</definedName>
    <definedName name="OSRRefD21_2x_5" localSheetId="83">'423'!$I$39</definedName>
    <definedName name="OSRRefD21_2x_5" localSheetId="84">'424'!$I$23</definedName>
    <definedName name="OSRRefD21_2x_5" localSheetId="85">'425'!$I$28</definedName>
    <definedName name="OSRRefD21_2x_5" localSheetId="88">'430'!$I$40</definedName>
    <definedName name="OSRRefD21_2x_5" localSheetId="89">'433'!$I$48</definedName>
    <definedName name="OSRRefD21_2x_5" localSheetId="91">'444'!$I$48</definedName>
    <definedName name="OSRRefD21_2x_5" localSheetId="92">'450'!$I$44</definedName>
    <definedName name="OSRRefD21_2x_5" localSheetId="73">'491'!$I$50</definedName>
    <definedName name="OSRRefD21_2x_5" localSheetId="87">'492'!$I$48</definedName>
    <definedName name="OSRRefD21_2x_5" localSheetId="94">'501'!$I$43</definedName>
    <definedName name="OSRRefD21_2x_5" localSheetId="39">'Div 2'!$I$42</definedName>
    <definedName name="OSRRefD21_2x_5" localSheetId="47">'Div 3'!$I$149</definedName>
    <definedName name="OSRRefD21_2x_5" localSheetId="71">'Div 4'!$I$53</definedName>
    <definedName name="OSRRefD21_2x_5" localSheetId="93">'Div 5'!$I$43</definedName>
    <definedName name="OSRRefD21_2x_5" localSheetId="62">'Div 6'!$I$74</definedName>
    <definedName name="OSRRefD21_2x_5" localSheetId="2">Summary!$I$179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'204'!$J$41</definedName>
    <definedName name="OSRRefD21_2x_6" localSheetId="45">'205'!$J$40</definedName>
    <definedName name="OSRRefD21_2x_6" localSheetId="46">'206'!$J$40</definedName>
    <definedName name="OSRRefD21_2x_6" localSheetId="48">'300'!$J$145</definedName>
    <definedName name="OSRRefD21_2x_6" localSheetId="49">'300 &amp; 317'!$J$169</definedName>
    <definedName name="OSRRefD21_2x_6" localSheetId="50">'301'!$J$42</definedName>
    <definedName name="OSRRefD21_2x_6" localSheetId="51">'306'!$J$40</definedName>
    <definedName name="OSRRefD21_2x_6" localSheetId="53">'307'!$J$58</definedName>
    <definedName name="OSRRefD21_2x_6" localSheetId="54">'308'!$J$80</definedName>
    <definedName name="OSRRefD21_2x_6" localSheetId="65">'309'!$J$41</definedName>
    <definedName name="OSRRefD21_2x_6" localSheetId="64">'310'!$J$50</definedName>
    <definedName name="OSRRefD21_2x_6" localSheetId="72">'310 &amp; 491'!$J$56</definedName>
    <definedName name="OSRRefD21_2x_6" localSheetId="55">'311'!$J$79</definedName>
    <definedName name="OSRRefD21_2x_6" localSheetId="66">'313'!$J$45</definedName>
    <definedName name="OSRRefD21_2x_6" localSheetId="58">'315'!$J$101</definedName>
    <definedName name="OSRRefD21_2x_6" localSheetId="61">'316'!$J$52</definedName>
    <definedName name="OSRRefD21_2x_6" localSheetId="63">'317'!$J$74</definedName>
    <definedName name="OSRRefD21_2x_6" localSheetId="67">'321'!$J$44</definedName>
    <definedName name="OSRRefD21_2x_6" localSheetId="68">'322'!$J$42</definedName>
    <definedName name="OSRRefD21_2x_6" localSheetId="69">'325'!$J$41</definedName>
    <definedName name="OSRRefD21_2x_6" localSheetId="59">'326'!$J$68</definedName>
    <definedName name="OSRRefD21_2x_6" localSheetId="52">'330'!$J$62</definedName>
    <definedName name="OSRRefD21_2x_6" localSheetId="57">'331'!$J$102</definedName>
    <definedName name="OSRRefD21_2x_6" localSheetId="60">'332'!$J$54</definedName>
    <definedName name="OSRRefD21_2x_6" localSheetId="74">'405'!$J$43</definedName>
    <definedName name="OSRRefD21_2x_6" localSheetId="75">'406'!$J$23</definedName>
    <definedName name="OSRRefD21_2x_6" localSheetId="76">'411'!$J$40</definedName>
    <definedName name="OSRRefD21_2x_6" localSheetId="77">'412'!$J$41</definedName>
    <definedName name="OSRRefD21_2x_6" localSheetId="78">'413'!$J$43</definedName>
    <definedName name="OSRRefD21_2x_6" localSheetId="79">'414'!$J$45</definedName>
    <definedName name="OSRRefD21_2x_6" localSheetId="80">'415'!$J$47</definedName>
    <definedName name="OSRRefD21_2x_6" localSheetId="81">'418'!$J$43</definedName>
    <definedName name="OSRRefD21_2x_6" localSheetId="83">'423'!$J$39</definedName>
    <definedName name="OSRRefD21_2x_6" localSheetId="84">'424'!$J$23</definedName>
    <definedName name="OSRRefD21_2x_6" localSheetId="85">'425'!$J$28</definedName>
    <definedName name="OSRRefD21_2x_6" localSheetId="88">'430'!$J$40</definedName>
    <definedName name="OSRRefD21_2x_6" localSheetId="89">'433'!$J$48</definedName>
    <definedName name="OSRRefD21_2x_6" localSheetId="91">'444'!$J$48</definedName>
    <definedName name="OSRRefD21_2x_6" localSheetId="92">'450'!$J$44</definedName>
    <definedName name="OSRRefD21_2x_6" localSheetId="73">'491'!$J$50</definedName>
    <definedName name="OSRRefD21_2x_6" localSheetId="87">'492'!$J$48</definedName>
    <definedName name="OSRRefD21_2x_6" localSheetId="94">'501'!$J$43</definedName>
    <definedName name="OSRRefD21_2x_6" localSheetId="39">'Div 2'!$J$42</definedName>
    <definedName name="OSRRefD21_2x_6" localSheetId="47">'Div 3'!$J$149</definedName>
    <definedName name="OSRRefD21_2x_6" localSheetId="71">'Div 4'!$J$53</definedName>
    <definedName name="OSRRefD21_2x_6" localSheetId="93">'Div 5'!$J$43</definedName>
    <definedName name="OSRRefD21_2x_6" localSheetId="62">'Div 6'!$J$74</definedName>
    <definedName name="OSRRefD21_2x_6" localSheetId="2">Summary!$J$179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'204'!$K$41</definedName>
    <definedName name="OSRRefD21_2x_7" localSheetId="45">'205'!$K$40</definedName>
    <definedName name="OSRRefD21_2x_7" localSheetId="46">'206'!$K$40</definedName>
    <definedName name="OSRRefD21_2x_7" localSheetId="48">'300'!$K$145</definedName>
    <definedName name="OSRRefD21_2x_7" localSheetId="49">'300 &amp; 317'!$K$169</definedName>
    <definedName name="OSRRefD21_2x_7" localSheetId="50">'301'!$K$42</definedName>
    <definedName name="OSRRefD21_2x_7" localSheetId="51">'306'!$K$40</definedName>
    <definedName name="OSRRefD21_2x_7" localSheetId="53">'307'!$K$58</definedName>
    <definedName name="OSRRefD21_2x_7" localSheetId="54">'308'!$K$80</definedName>
    <definedName name="OSRRefD21_2x_7" localSheetId="65">'309'!$K$41</definedName>
    <definedName name="OSRRefD21_2x_7" localSheetId="64">'310'!$K$50</definedName>
    <definedName name="OSRRefD21_2x_7" localSheetId="72">'310 &amp; 491'!$K$56</definedName>
    <definedName name="OSRRefD21_2x_7" localSheetId="55">'311'!$K$79</definedName>
    <definedName name="OSRRefD21_2x_7" localSheetId="66">'313'!$K$45</definedName>
    <definedName name="OSRRefD21_2x_7" localSheetId="58">'315'!$K$101</definedName>
    <definedName name="OSRRefD21_2x_7" localSheetId="61">'316'!$K$52</definedName>
    <definedName name="OSRRefD21_2x_7" localSheetId="63">'317'!$K$74</definedName>
    <definedName name="OSRRefD21_2x_7" localSheetId="67">'321'!$K$44</definedName>
    <definedName name="OSRRefD21_2x_7" localSheetId="68">'322'!$K$42</definedName>
    <definedName name="OSRRefD21_2x_7" localSheetId="69">'325'!$K$41</definedName>
    <definedName name="OSRRefD21_2x_7" localSheetId="59">'326'!$K$68</definedName>
    <definedName name="OSRRefD21_2x_7" localSheetId="52">'330'!$K$62</definedName>
    <definedName name="OSRRefD21_2x_7" localSheetId="57">'331'!$K$102</definedName>
    <definedName name="OSRRefD21_2x_7" localSheetId="60">'332'!$K$54</definedName>
    <definedName name="OSRRefD21_2x_7" localSheetId="74">'405'!$K$43</definedName>
    <definedName name="OSRRefD21_2x_7" localSheetId="75">'406'!$K$23</definedName>
    <definedName name="OSRRefD21_2x_7" localSheetId="76">'411'!$K$40</definedName>
    <definedName name="OSRRefD21_2x_7" localSheetId="77">'412'!$K$41</definedName>
    <definedName name="OSRRefD21_2x_7" localSheetId="78">'413'!$K$43</definedName>
    <definedName name="OSRRefD21_2x_7" localSheetId="79">'414'!$K$45</definedName>
    <definedName name="OSRRefD21_2x_7" localSheetId="80">'415'!$K$47</definedName>
    <definedName name="OSRRefD21_2x_7" localSheetId="81">'418'!$K$43</definedName>
    <definedName name="OSRRefD21_2x_7" localSheetId="83">'423'!$K$39</definedName>
    <definedName name="OSRRefD21_2x_7" localSheetId="84">'424'!$K$23</definedName>
    <definedName name="OSRRefD21_2x_7" localSheetId="85">'425'!$K$28</definedName>
    <definedName name="OSRRefD21_2x_7" localSheetId="88">'430'!$K$40</definedName>
    <definedName name="OSRRefD21_2x_7" localSheetId="89">'433'!$K$48</definedName>
    <definedName name="OSRRefD21_2x_7" localSheetId="91">'444'!$K$48</definedName>
    <definedName name="OSRRefD21_2x_7" localSheetId="92">'450'!$K$44</definedName>
    <definedName name="OSRRefD21_2x_7" localSheetId="73">'491'!$K$50</definedName>
    <definedName name="OSRRefD21_2x_7" localSheetId="87">'492'!$K$48</definedName>
    <definedName name="OSRRefD21_2x_7" localSheetId="94">'501'!$K$43</definedName>
    <definedName name="OSRRefD21_2x_7" localSheetId="39">'Div 2'!$K$42</definedName>
    <definedName name="OSRRefD21_2x_7" localSheetId="47">'Div 3'!$K$149</definedName>
    <definedName name="OSRRefD21_2x_7" localSheetId="71">'Div 4'!$K$53</definedName>
    <definedName name="OSRRefD21_2x_7" localSheetId="93">'Div 5'!$K$43</definedName>
    <definedName name="OSRRefD21_2x_7" localSheetId="62">'Div 6'!$K$74</definedName>
    <definedName name="OSRRefD21_2x_7" localSheetId="2">Summary!$K$179</definedName>
    <definedName name="OSRRefD21_2x_8" localSheetId="40">'200'!$L$23</definedName>
    <definedName name="OSRRefD21_2x_8" localSheetId="41">'201'!$L$40</definedName>
    <definedName name="OSRRefD21_2x_8" localSheetId="42">'202'!$L$40</definedName>
    <definedName name="OSRRefD21_2x_8" localSheetId="43">'203'!$L$41</definedName>
    <definedName name="OSRRefD21_2x_8" localSheetId="44">'204'!$L$41</definedName>
    <definedName name="OSRRefD21_2x_8" localSheetId="45">'205'!$L$40</definedName>
    <definedName name="OSRRefD21_2x_8" localSheetId="46">'206'!$L$40</definedName>
    <definedName name="OSRRefD21_2x_8" localSheetId="48">'300'!$L$145</definedName>
    <definedName name="OSRRefD21_2x_8" localSheetId="49">'300 &amp; 317'!$L$169</definedName>
    <definedName name="OSRRefD21_2x_8" localSheetId="50">'301'!$L$42</definedName>
    <definedName name="OSRRefD21_2x_8" localSheetId="51">'306'!$L$40</definedName>
    <definedName name="OSRRefD21_2x_8" localSheetId="53">'307'!$L$58</definedName>
    <definedName name="OSRRefD21_2x_8" localSheetId="54">'308'!$L$80</definedName>
    <definedName name="OSRRefD21_2x_8" localSheetId="65">'309'!$L$41</definedName>
    <definedName name="OSRRefD21_2x_8" localSheetId="64">'310'!$L$50</definedName>
    <definedName name="OSRRefD21_2x_8" localSheetId="72">'310 &amp; 491'!$L$56</definedName>
    <definedName name="OSRRefD21_2x_8" localSheetId="55">'311'!$L$79</definedName>
    <definedName name="OSRRefD21_2x_8" localSheetId="66">'313'!$L$45</definedName>
    <definedName name="OSRRefD21_2x_8" localSheetId="58">'315'!$L$101</definedName>
    <definedName name="OSRRefD21_2x_8" localSheetId="61">'316'!$L$52</definedName>
    <definedName name="OSRRefD21_2x_8" localSheetId="63">'317'!$L$74</definedName>
    <definedName name="OSRRefD21_2x_8" localSheetId="67">'321'!$L$44</definedName>
    <definedName name="OSRRefD21_2x_8" localSheetId="68">'322'!$L$42</definedName>
    <definedName name="OSRRefD21_2x_8" localSheetId="69">'325'!$L$41</definedName>
    <definedName name="OSRRefD21_2x_8" localSheetId="59">'326'!$L$68</definedName>
    <definedName name="OSRRefD21_2x_8" localSheetId="52">'330'!$L$62</definedName>
    <definedName name="OSRRefD21_2x_8" localSheetId="57">'331'!$L$102</definedName>
    <definedName name="OSRRefD21_2x_8" localSheetId="60">'332'!$L$54</definedName>
    <definedName name="OSRRefD21_2x_8" localSheetId="74">'405'!$L$43</definedName>
    <definedName name="OSRRefD21_2x_8" localSheetId="75">'406'!$L$23</definedName>
    <definedName name="OSRRefD21_2x_8" localSheetId="76">'411'!$L$40</definedName>
    <definedName name="OSRRefD21_2x_8" localSheetId="77">'412'!$L$41</definedName>
    <definedName name="OSRRefD21_2x_8" localSheetId="78">'413'!$L$43</definedName>
    <definedName name="OSRRefD21_2x_8" localSheetId="79">'414'!$L$45</definedName>
    <definedName name="OSRRefD21_2x_8" localSheetId="80">'415'!$L$47</definedName>
    <definedName name="OSRRefD21_2x_8" localSheetId="81">'418'!$L$43</definedName>
    <definedName name="OSRRefD21_2x_8" localSheetId="83">'423'!$L$39</definedName>
    <definedName name="OSRRefD21_2x_8" localSheetId="84">'424'!$L$23</definedName>
    <definedName name="OSRRefD21_2x_8" localSheetId="85">'425'!$L$28</definedName>
    <definedName name="OSRRefD21_2x_8" localSheetId="88">'430'!$L$40</definedName>
    <definedName name="OSRRefD21_2x_8" localSheetId="89">'433'!$L$48</definedName>
    <definedName name="OSRRefD21_2x_8" localSheetId="91">'444'!$L$48</definedName>
    <definedName name="OSRRefD21_2x_8" localSheetId="92">'450'!$L$44</definedName>
    <definedName name="OSRRefD21_2x_8" localSheetId="73">'491'!$L$50</definedName>
    <definedName name="OSRRefD21_2x_8" localSheetId="87">'492'!$L$48</definedName>
    <definedName name="OSRRefD21_2x_8" localSheetId="94">'501'!$L$43</definedName>
    <definedName name="OSRRefD21_2x_8" localSheetId="39">'Div 2'!$L$42</definedName>
    <definedName name="OSRRefD21_2x_8" localSheetId="47">'Div 3'!$L$149</definedName>
    <definedName name="OSRRefD21_2x_8" localSheetId="71">'Div 4'!$L$53</definedName>
    <definedName name="OSRRefD21_2x_8" localSheetId="93">'Div 5'!$L$43</definedName>
    <definedName name="OSRRefD21_2x_8" localSheetId="62">'Div 6'!$L$74</definedName>
    <definedName name="OSRRefD21_2x_8" localSheetId="2">Summary!$L$179</definedName>
    <definedName name="OSRRefD21_2x_9" localSheetId="40">'200'!$M$23</definedName>
    <definedName name="OSRRefD21_2x_9" localSheetId="41">'201'!$M$40</definedName>
    <definedName name="OSRRefD21_2x_9" localSheetId="42">'202'!$M$40</definedName>
    <definedName name="OSRRefD21_2x_9" localSheetId="43">'203'!$M$41</definedName>
    <definedName name="OSRRefD21_2x_9" localSheetId="44">'204'!$M$41</definedName>
    <definedName name="OSRRefD21_2x_9" localSheetId="45">'205'!$M$40</definedName>
    <definedName name="OSRRefD21_2x_9" localSheetId="46">'206'!$M$40</definedName>
    <definedName name="OSRRefD21_2x_9" localSheetId="48">'300'!$M$145</definedName>
    <definedName name="OSRRefD21_2x_9" localSheetId="49">'300 &amp; 317'!$M$169</definedName>
    <definedName name="OSRRefD21_2x_9" localSheetId="50">'301'!$M$42</definedName>
    <definedName name="OSRRefD21_2x_9" localSheetId="51">'306'!$M$40</definedName>
    <definedName name="OSRRefD21_2x_9" localSheetId="53">'307'!$M$58</definedName>
    <definedName name="OSRRefD21_2x_9" localSheetId="54">'308'!$M$80</definedName>
    <definedName name="OSRRefD21_2x_9" localSheetId="65">'309'!$M$41</definedName>
    <definedName name="OSRRefD21_2x_9" localSheetId="64">'310'!$M$50</definedName>
    <definedName name="OSRRefD21_2x_9" localSheetId="72">'310 &amp; 491'!$M$56</definedName>
    <definedName name="OSRRefD21_2x_9" localSheetId="55">'311'!$M$79</definedName>
    <definedName name="OSRRefD21_2x_9" localSheetId="66">'313'!$M$45</definedName>
    <definedName name="OSRRefD21_2x_9" localSheetId="58">'315'!$M$101</definedName>
    <definedName name="OSRRefD21_2x_9" localSheetId="61">'316'!$M$52</definedName>
    <definedName name="OSRRefD21_2x_9" localSheetId="63">'317'!$M$74</definedName>
    <definedName name="OSRRefD21_2x_9" localSheetId="67">'321'!$M$44</definedName>
    <definedName name="OSRRefD21_2x_9" localSheetId="68">'322'!$M$42</definedName>
    <definedName name="OSRRefD21_2x_9" localSheetId="69">'325'!$M$41</definedName>
    <definedName name="OSRRefD21_2x_9" localSheetId="59">'326'!$M$68</definedName>
    <definedName name="OSRRefD21_2x_9" localSheetId="52">'330'!$M$62</definedName>
    <definedName name="OSRRefD21_2x_9" localSheetId="57">'331'!$M$102</definedName>
    <definedName name="OSRRefD21_2x_9" localSheetId="60">'332'!$M$54</definedName>
    <definedName name="OSRRefD21_2x_9" localSheetId="74">'405'!$M$43</definedName>
    <definedName name="OSRRefD21_2x_9" localSheetId="75">'406'!$M$23</definedName>
    <definedName name="OSRRefD21_2x_9" localSheetId="76">'411'!$M$40</definedName>
    <definedName name="OSRRefD21_2x_9" localSheetId="77">'412'!$M$41</definedName>
    <definedName name="OSRRefD21_2x_9" localSheetId="78">'413'!$M$43</definedName>
    <definedName name="OSRRefD21_2x_9" localSheetId="79">'414'!$M$45</definedName>
    <definedName name="OSRRefD21_2x_9" localSheetId="80">'415'!$M$47</definedName>
    <definedName name="OSRRefD21_2x_9" localSheetId="81">'418'!$M$43</definedName>
    <definedName name="OSRRefD21_2x_9" localSheetId="83">'423'!$M$39</definedName>
    <definedName name="OSRRefD21_2x_9" localSheetId="84">'424'!$M$23</definedName>
    <definedName name="OSRRefD21_2x_9" localSheetId="85">'425'!$M$28</definedName>
    <definedName name="OSRRefD21_2x_9" localSheetId="88">'430'!$M$40</definedName>
    <definedName name="OSRRefD21_2x_9" localSheetId="89">'433'!$M$48</definedName>
    <definedName name="OSRRefD21_2x_9" localSheetId="91">'444'!$M$48</definedName>
    <definedName name="OSRRefD21_2x_9" localSheetId="92">'450'!$M$44</definedName>
    <definedName name="OSRRefD21_2x_9" localSheetId="73">'491'!$M$50</definedName>
    <definedName name="OSRRefD21_2x_9" localSheetId="87">'492'!$M$48</definedName>
    <definedName name="OSRRefD21_2x_9" localSheetId="94">'501'!$M$43</definedName>
    <definedName name="OSRRefD21_2x_9" localSheetId="39">'Div 2'!$M$42</definedName>
    <definedName name="OSRRefD21_2x_9" localSheetId="47">'Div 3'!$M$149</definedName>
    <definedName name="OSRRefD21_2x_9" localSheetId="71">'Div 4'!$M$53</definedName>
    <definedName name="OSRRefD21_2x_9" localSheetId="93">'Div 5'!$M$43</definedName>
    <definedName name="OSRRefD21_2x_9" localSheetId="62">'Div 6'!$M$74</definedName>
    <definedName name="OSRRefD21_2x_9" localSheetId="2">Summary!$M$179</definedName>
    <definedName name="OSRRefD21_3_0x" localSheetId="40">'200'!$D$25:$M$25</definedName>
    <definedName name="OSRRefD21_3_0x" localSheetId="41">'201'!$D$42:$M$42</definedName>
    <definedName name="OSRRefD21_3_0x" localSheetId="42">'202'!$D$42:$M$42</definedName>
    <definedName name="OSRRefD21_3_0x" localSheetId="43">'203'!$D$43:$M$43</definedName>
    <definedName name="OSRRefD21_3_0x" localSheetId="44">'204'!$D$43:$M$43</definedName>
    <definedName name="OSRRefD21_3_0x" localSheetId="45">'205'!$D$42:$M$42</definedName>
    <definedName name="OSRRefD21_3_0x" localSheetId="46">'206'!$D$42:$M$42</definedName>
    <definedName name="OSRRefD21_3_0x" localSheetId="48">'300'!$D$147:$M$147</definedName>
    <definedName name="OSRRefD21_3_0x" localSheetId="49">'300 &amp; 317'!$D$171:$M$171</definedName>
    <definedName name="OSRRefD21_3_0x" localSheetId="50">'301'!$D$44:$M$44</definedName>
    <definedName name="OSRRefD21_3_0x" localSheetId="51">'306'!$D$42:$M$42</definedName>
    <definedName name="OSRRefD21_3_0x" localSheetId="53">'307'!$D$60:$M$60</definedName>
    <definedName name="OSRRefD21_3_0x" localSheetId="54">'308'!$D$82:$M$82</definedName>
    <definedName name="OSRRefD21_3_0x" localSheetId="65">'309'!$D$43:$M$43</definedName>
    <definedName name="OSRRefD21_3_0x" localSheetId="64">'310'!$D$52:$M$52</definedName>
    <definedName name="OSRRefD21_3_0x" localSheetId="72">'310 &amp; 491'!$D$58:$M$58</definedName>
    <definedName name="OSRRefD21_3_0x" localSheetId="55">'311'!$D$81:$M$81</definedName>
    <definedName name="OSRRefD21_3_0x" localSheetId="66">'313'!$D$47:$M$47</definedName>
    <definedName name="OSRRefD21_3_0x" localSheetId="58">'315'!$D$103:$M$103</definedName>
    <definedName name="OSRRefD21_3_0x" localSheetId="61">'316'!$D$54:$M$54</definedName>
    <definedName name="OSRRefD21_3_0x" localSheetId="63">'317'!$D$76:$M$76</definedName>
    <definedName name="OSRRefD21_3_0x" localSheetId="67">'321'!$D$46:$M$46</definedName>
    <definedName name="OSRRefD21_3_0x" localSheetId="68">'322'!$D$44:$M$44</definedName>
    <definedName name="OSRRefD21_3_0x" localSheetId="69">'325'!$D$43:$M$43</definedName>
    <definedName name="OSRRefD21_3_0x" localSheetId="59">'326'!$D$70:$M$70</definedName>
    <definedName name="OSRRefD21_3_0x" localSheetId="52">'330'!$D$64:$M$64</definedName>
    <definedName name="OSRRefD21_3_0x" localSheetId="57">'331'!$D$104:$M$104</definedName>
    <definedName name="OSRRefD21_3_0x" localSheetId="60">'332'!$D$56:$M$56</definedName>
    <definedName name="OSRRefD21_3_0x" localSheetId="74">'405'!$D$45:$M$45</definedName>
    <definedName name="OSRRefD21_3_0x" localSheetId="75">'406'!$D$25:$M$25</definedName>
    <definedName name="OSRRefD21_3_0x" localSheetId="76">'411'!$D$42:$M$42</definedName>
    <definedName name="OSRRefD21_3_0x" localSheetId="77">'412'!$D$43:$M$43</definedName>
    <definedName name="OSRRefD21_3_0x" localSheetId="78">'413'!$D$45:$M$45</definedName>
    <definedName name="OSRRefD21_3_0x" localSheetId="79">'414'!$D$47:$M$47</definedName>
    <definedName name="OSRRefD21_3_0x" localSheetId="80">'415'!$D$49:$M$49</definedName>
    <definedName name="OSRRefD21_3_0x" localSheetId="81">'418'!$D$45:$M$45</definedName>
    <definedName name="OSRRefD21_3_0x" localSheetId="83">'423'!$D$41:$M$41</definedName>
    <definedName name="OSRRefD21_3_0x" localSheetId="84">'424'!$D$25:$M$25</definedName>
    <definedName name="OSRRefD21_3_0x" localSheetId="85">'425'!$D$30:$M$30</definedName>
    <definedName name="OSRRefD21_3_0x" localSheetId="88">'430'!$D$42:$M$42</definedName>
    <definedName name="OSRRefD21_3_0x" localSheetId="89">'433'!$D$50:$M$50</definedName>
    <definedName name="OSRRefD21_3_0x" localSheetId="91">'444'!$D$50:$M$50</definedName>
    <definedName name="OSRRefD21_3_0x" localSheetId="92">'450'!$D$46:$M$46</definedName>
    <definedName name="OSRRefD21_3_0x" localSheetId="73">'491'!$D$52:$M$52</definedName>
    <definedName name="OSRRefD21_3_0x" localSheetId="87">'492'!$D$50:$M$50</definedName>
    <definedName name="OSRRefD21_3_0x" localSheetId="94">'501'!$D$45:$M$45</definedName>
    <definedName name="OSRRefD21_3_0x" localSheetId="39">'Div 2'!$D$44:$M$44</definedName>
    <definedName name="OSRRefD21_3_0x" localSheetId="47">'Div 3'!$D$151:$M$151</definedName>
    <definedName name="OSRRefD21_3_0x" localSheetId="71">'Div 4'!$D$55:$M$55</definedName>
    <definedName name="OSRRefD21_3_0x" localSheetId="93">'Div 5'!$D$45:$M$45</definedName>
    <definedName name="OSRRefD21_3_0x" localSheetId="62">'Div 6'!$D$76:$M$76</definedName>
    <definedName name="OSRRefD21_3_0x" localSheetId="2">Summary!$D$181:$M$181</definedName>
    <definedName name="OSRRefD21_3_1x" localSheetId="40">'200'!$D$26:$M$26</definedName>
    <definedName name="OSRRefD21_3_1x" localSheetId="48">'300'!$D$148:$M$148</definedName>
    <definedName name="OSRRefD21_3_1x" localSheetId="49">'300 &amp; 317'!$D$172:$M$172</definedName>
    <definedName name="OSRRefD21_3_1x" localSheetId="50">'301'!$D$45:$M$45</definedName>
    <definedName name="OSRRefD21_3_1x" localSheetId="54">'308'!$D$83:$M$83</definedName>
    <definedName name="OSRRefD21_3_1x" localSheetId="55">'311'!$D$82:$M$82</definedName>
    <definedName name="OSRRefD21_3_1x" localSheetId="83">'423'!$D$42:$M$42</definedName>
    <definedName name="OSRRefD21_3_1x" localSheetId="47">'Div 3'!$D$152:$M$152</definedName>
    <definedName name="OSRRefD21_3_1x" localSheetId="2">Summary!$D$182:$M$182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'300'!$D$147:$D$148</definedName>
    <definedName name="OSRRefD21_3x_0" localSheetId="49">'300 &amp; 317'!$D$171:$D$172</definedName>
    <definedName name="OSRRefD21_3x_0" localSheetId="50">'301'!$D$44:$D$45</definedName>
    <definedName name="OSRRefD21_3x_0" localSheetId="51">'306'!$D$42</definedName>
    <definedName name="OSRRefD21_3x_0" localSheetId="53">'307'!$D$60</definedName>
    <definedName name="OSRRefD21_3x_0" localSheetId="54">'308'!$D$82:$D$83</definedName>
    <definedName name="OSRRefD21_3x_0" localSheetId="65">'309'!$D$43</definedName>
    <definedName name="OSRRefD21_3x_0" localSheetId="64">'310'!$D$52</definedName>
    <definedName name="OSRRefD21_3x_0" localSheetId="72">'310 &amp; 491'!$D$58</definedName>
    <definedName name="OSRRefD21_3x_0" localSheetId="55">'311'!$D$81:$D$82</definedName>
    <definedName name="OSRRefD21_3x_0" localSheetId="66">'313'!$D$47</definedName>
    <definedName name="OSRRefD21_3x_0" localSheetId="58">'315'!$D$103</definedName>
    <definedName name="OSRRefD21_3x_0" localSheetId="61">'316'!$D$54</definedName>
    <definedName name="OSRRefD21_3x_0" localSheetId="63">'317'!$D$76</definedName>
    <definedName name="OSRRefD21_3x_0" localSheetId="67">'321'!$D$46</definedName>
    <definedName name="OSRRefD21_3x_0" localSheetId="68">'322'!$D$44</definedName>
    <definedName name="OSRRefD21_3x_0" localSheetId="69">'325'!$D$43</definedName>
    <definedName name="OSRRefD21_3x_0" localSheetId="59">'326'!$D$70</definedName>
    <definedName name="OSRRefD21_3x_0" localSheetId="52">'330'!$D$64</definedName>
    <definedName name="OSRRefD21_3x_0" localSheetId="57">'331'!$D$104</definedName>
    <definedName name="OSRRefD21_3x_0" localSheetId="60">'332'!$D$56</definedName>
    <definedName name="OSRRefD21_3x_0" localSheetId="74">'405'!$D$45</definedName>
    <definedName name="OSRRefD21_3x_0" localSheetId="75">'406'!$D$25</definedName>
    <definedName name="OSRRefD21_3x_0" localSheetId="76">'411'!$D$42</definedName>
    <definedName name="OSRRefD21_3x_0" localSheetId="77">'412'!$D$43</definedName>
    <definedName name="OSRRefD21_3x_0" localSheetId="78">'413'!$D$45</definedName>
    <definedName name="OSRRefD21_3x_0" localSheetId="79">'414'!$D$47</definedName>
    <definedName name="OSRRefD21_3x_0" localSheetId="80">'415'!$D$49</definedName>
    <definedName name="OSRRefD21_3x_0" localSheetId="81">'418'!$D$45</definedName>
    <definedName name="OSRRefD21_3x_0" localSheetId="83">'423'!$D$41:$D$42</definedName>
    <definedName name="OSRRefD21_3x_0" localSheetId="84">'424'!$D$25</definedName>
    <definedName name="OSRRefD21_3x_0" localSheetId="85">'425'!$D$30</definedName>
    <definedName name="OSRRefD21_3x_0" localSheetId="88">'430'!$D$42</definedName>
    <definedName name="OSRRefD21_3x_0" localSheetId="89">'433'!$D$50</definedName>
    <definedName name="OSRRefD21_3x_0" localSheetId="91">'444'!$D$50</definedName>
    <definedName name="OSRRefD21_3x_0" localSheetId="92">'450'!$D$46</definedName>
    <definedName name="OSRRefD21_3x_0" localSheetId="73">'491'!$D$52</definedName>
    <definedName name="OSRRefD21_3x_0" localSheetId="87">'492'!$D$50</definedName>
    <definedName name="OSRRefD21_3x_0" localSheetId="94">'501'!$D$45</definedName>
    <definedName name="OSRRefD21_3x_0" localSheetId="39">'Div 2'!$D$44</definedName>
    <definedName name="OSRRefD21_3x_0" localSheetId="47">'Div 3'!$D$151:$D$152</definedName>
    <definedName name="OSRRefD21_3x_0" localSheetId="71">'Div 4'!$D$55</definedName>
    <definedName name="OSRRefD21_3x_0" localSheetId="93">'Div 5'!$D$45</definedName>
    <definedName name="OSRRefD21_3x_0" localSheetId="62">'Div 6'!$D$76</definedName>
    <definedName name="OSRRefD21_3x_0" localSheetId="2">Summary!$D$181:$D$182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'300'!$E$147:$E$148</definedName>
    <definedName name="OSRRefD21_3x_1" localSheetId="49">'300 &amp; 317'!$E$171:$E$172</definedName>
    <definedName name="OSRRefD21_3x_1" localSheetId="50">'301'!$E$44:$E$45</definedName>
    <definedName name="OSRRefD21_3x_1" localSheetId="51">'306'!$E$42</definedName>
    <definedName name="OSRRefD21_3x_1" localSheetId="53">'307'!$E$60</definedName>
    <definedName name="OSRRefD21_3x_1" localSheetId="54">'308'!$E$82:$E$83</definedName>
    <definedName name="OSRRefD21_3x_1" localSheetId="65">'309'!$E$43</definedName>
    <definedName name="OSRRefD21_3x_1" localSheetId="64">'310'!$E$52</definedName>
    <definedName name="OSRRefD21_3x_1" localSheetId="72">'310 &amp; 491'!$E$58</definedName>
    <definedName name="OSRRefD21_3x_1" localSheetId="55">'311'!$E$81:$E$82</definedName>
    <definedName name="OSRRefD21_3x_1" localSheetId="66">'313'!$E$47</definedName>
    <definedName name="OSRRefD21_3x_1" localSheetId="58">'315'!$E$103</definedName>
    <definedName name="OSRRefD21_3x_1" localSheetId="61">'316'!$E$54</definedName>
    <definedName name="OSRRefD21_3x_1" localSheetId="63">'317'!$E$76</definedName>
    <definedName name="OSRRefD21_3x_1" localSheetId="67">'321'!$E$46</definedName>
    <definedName name="OSRRefD21_3x_1" localSheetId="68">'322'!$E$44</definedName>
    <definedName name="OSRRefD21_3x_1" localSheetId="69">'325'!$E$43</definedName>
    <definedName name="OSRRefD21_3x_1" localSheetId="59">'326'!$E$70</definedName>
    <definedName name="OSRRefD21_3x_1" localSheetId="52">'330'!$E$64</definedName>
    <definedName name="OSRRefD21_3x_1" localSheetId="57">'331'!$E$104</definedName>
    <definedName name="OSRRefD21_3x_1" localSheetId="60">'332'!$E$56</definedName>
    <definedName name="OSRRefD21_3x_1" localSheetId="74">'405'!$E$45</definedName>
    <definedName name="OSRRefD21_3x_1" localSheetId="75">'406'!$E$25</definedName>
    <definedName name="OSRRefD21_3x_1" localSheetId="76">'411'!$E$42</definedName>
    <definedName name="OSRRefD21_3x_1" localSheetId="77">'412'!$E$43</definedName>
    <definedName name="OSRRefD21_3x_1" localSheetId="78">'413'!$E$45</definedName>
    <definedName name="OSRRefD21_3x_1" localSheetId="79">'414'!$E$47</definedName>
    <definedName name="OSRRefD21_3x_1" localSheetId="80">'415'!$E$49</definedName>
    <definedName name="OSRRefD21_3x_1" localSheetId="81">'418'!$E$45</definedName>
    <definedName name="OSRRefD21_3x_1" localSheetId="83">'423'!$E$41:$E$42</definedName>
    <definedName name="OSRRefD21_3x_1" localSheetId="84">'424'!$E$25</definedName>
    <definedName name="OSRRefD21_3x_1" localSheetId="85">'425'!$E$30</definedName>
    <definedName name="OSRRefD21_3x_1" localSheetId="88">'430'!$E$42</definedName>
    <definedName name="OSRRefD21_3x_1" localSheetId="89">'433'!$E$50</definedName>
    <definedName name="OSRRefD21_3x_1" localSheetId="91">'444'!$E$50</definedName>
    <definedName name="OSRRefD21_3x_1" localSheetId="92">'450'!$E$46</definedName>
    <definedName name="OSRRefD21_3x_1" localSheetId="73">'491'!$E$52</definedName>
    <definedName name="OSRRefD21_3x_1" localSheetId="87">'492'!$E$50</definedName>
    <definedName name="OSRRefD21_3x_1" localSheetId="94">'501'!$E$45</definedName>
    <definedName name="OSRRefD21_3x_1" localSheetId="39">'Div 2'!$E$44</definedName>
    <definedName name="OSRRefD21_3x_1" localSheetId="47">'Div 3'!$E$151:$E$152</definedName>
    <definedName name="OSRRefD21_3x_1" localSheetId="71">'Div 4'!$E$55</definedName>
    <definedName name="OSRRefD21_3x_1" localSheetId="93">'Div 5'!$E$45</definedName>
    <definedName name="OSRRefD21_3x_1" localSheetId="62">'Div 6'!$E$76</definedName>
    <definedName name="OSRRefD21_3x_1" localSheetId="2">Summary!$E$181:$E$182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'300'!$F$147:$F$148</definedName>
    <definedName name="OSRRefD21_3x_2" localSheetId="49">'300 &amp; 317'!$F$171:$F$172</definedName>
    <definedName name="OSRRefD21_3x_2" localSheetId="50">'301'!$F$44:$F$45</definedName>
    <definedName name="OSRRefD21_3x_2" localSheetId="51">'306'!$F$42</definedName>
    <definedName name="OSRRefD21_3x_2" localSheetId="53">'307'!$F$60</definedName>
    <definedName name="OSRRefD21_3x_2" localSheetId="54">'308'!$F$82:$F$83</definedName>
    <definedName name="OSRRefD21_3x_2" localSheetId="65">'309'!$F$43</definedName>
    <definedName name="OSRRefD21_3x_2" localSheetId="64">'310'!$F$52</definedName>
    <definedName name="OSRRefD21_3x_2" localSheetId="72">'310 &amp; 491'!$F$58</definedName>
    <definedName name="OSRRefD21_3x_2" localSheetId="55">'311'!$F$81:$F$82</definedName>
    <definedName name="OSRRefD21_3x_2" localSheetId="66">'313'!$F$47</definedName>
    <definedName name="OSRRefD21_3x_2" localSheetId="58">'315'!$F$103</definedName>
    <definedName name="OSRRefD21_3x_2" localSheetId="61">'316'!$F$54</definedName>
    <definedName name="OSRRefD21_3x_2" localSheetId="63">'317'!$F$76</definedName>
    <definedName name="OSRRefD21_3x_2" localSheetId="67">'321'!$F$46</definedName>
    <definedName name="OSRRefD21_3x_2" localSheetId="68">'322'!$F$44</definedName>
    <definedName name="OSRRefD21_3x_2" localSheetId="69">'325'!$F$43</definedName>
    <definedName name="OSRRefD21_3x_2" localSheetId="59">'326'!$F$70</definedName>
    <definedName name="OSRRefD21_3x_2" localSheetId="52">'330'!$F$64</definedName>
    <definedName name="OSRRefD21_3x_2" localSheetId="57">'331'!$F$104</definedName>
    <definedName name="OSRRefD21_3x_2" localSheetId="60">'332'!$F$56</definedName>
    <definedName name="OSRRefD21_3x_2" localSheetId="74">'405'!$F$45</definedName>
    <definedName name="OSRRefD21_3x_2" localSheetId="75">'406'!$F$25</definedName>
    <definedName name="OSRRefD21_3x_2" localSheetId="76">'411'!$F$42</definedName>
    <definedName name="OSRRefD21_3x_2" localSheetId="77">'412'!$F$43</definedName>
    <definedName name="OSRRefD21_3x_2" localSheetId="78">'413'!$F$45</definedName>
    <definedName name="OSRRefD21_3x_2" localSheetId="79">'414'!$F$47</definedName>
    <definedName name="OSRRefD21_3x_2" localSheetId="80">'415'!$F$49</definedName>
    <definedName name="OSRRefD21_3x_2" localSheetId="81">'418'!$F$45</definedName>
    <definedName name="OSRRefD21_3x_2" localSheetId="83">'423'!$F$41:$F$42</definedName>
    <definedName name="OSRRefD21_3x_2" localSheetId="84">'424'!$F$25</definedName>
    <definedName name="OSRRefD21_3x_2" localSheetId="85">'425'!$F$30</definedName>
    <definedName name="OSRRefD21_3x_2" localSheetId="88">'430'!$F$42</definedName>
    <definedName name="OSRRefD21_3x_2" localSheetId="89">'433'!$F$50</definedName>
    <definedName name="OSRRefD21_3x_2" localSheetId="91">'444'!$F$50</definedName>
    <definedName name="OSRRefD21_3x_2" localSheetId="92">'450'!$F$46</definedName>
    <definedName name="OSRRefD21_3x_2" localSheetId="73">'491'!$F$52</definedName>
    <definedName name="OSRRefD21_3x_2" localSheetId="87">'492'!$F$50</definedName>
    <definedName name="OSRRefD21_3x_2" localSheetId="94">'501'!$F$45</definedName>
    <definedName name="OSRRefD21_3x_2" localSheetId="39">'Div 2'!$F$44</definedName>
    <definedName name="OSRRefD21_3x_2" localSheetId="47">'Div 3'!$F$151:$F$152</definedName>
    <definedName name="OSRRefD21_3x_2" localSheetId="71">'Div 4'!$F$55</definedName>
    <definedName name="OSRRefD21_3x_2" localSheetId="93">'Div 5'!$F$45</definedName>
    <definedName name="OSRRefD21_3x_2" localSheetId="62">'Div 6'!$F$76</definedName>
    <definedName name="OSRRefD21_3x_2" localSheetId="2">Summary!$F$181:$F$182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'300'!$G$147:$G$148</definedName>
    <definedName name="OSRRefD21_3x_3" localSheetId="49">'300 &amp; 317'!$G$171:$G$172</definedName>
    <definedName name="OSRRefD21_3x_3" localSheetId="50">'301'!$G$44:$G$45</definedName>
    <definedName name="OSRRefD21_3x_3" localSheetId="51">'306'!$G$42</definedName>
    <definedName name="OSRRefD21_3x_3" localSheetId="53">'307'!$G$60</definedName>
    <definedName name="OSRRefD21_3x_3" localSheetId="54">'308'!$G$82:$G$83</definedName>
    <definedName name="OSRRefD21_3x_3" localSheetId="65">'309'!$G$43</definedName>
    <definedName name="OSRRefD21_3x_3" localSheetId="64">'310'!$G$52</definedName>
    <definedName name="OSRRefD21_3x_3" localSheetId="72">'310 &amp; 491'!$G$58</definedName>
    <definedName name="OSRRefD21_3x_3" localSheetId="55">'311'!$G$81:$G$82</definedName>
    <definedName name="OSRRefD21_3x_3" localSheetId="66">'313'!$G$47</definedName>
    <definedName name="OSRRefD21_3x_3" localSheetId="58">'315'!$G$103</definedName>
    <definedName name="OSRRefD21_3x_3" localSheetId="61">'316'!$G$54</definedName>
    <definedName name="OSRRefD21_3x_3" localSheetId="63">'317'!$G$76</definedName>
    <definedName name="OSRRefD21_3x_3" localSheetId="67">'321'!$G$46</definedName>
    <definedName name="OSRRefD21_3x_3" localSheetId="68">'322'!$G$44</definedName>
    <definedName name="OSRRefD21_3x_3" localSheetId="69">'325'!$G$43</definedName>
    <definedName name="OSRRefD21_3x_3" localSheetId="59">'326'!$G$70</definedName>
    <definedName name="OSRRefD21_3x_3" localSheetId="52">'330'!$G$64</definedName>
    <definedName name="OSRRefD21_3x_3" localSheetId="57">'331'!$G$104</definedName>
    <definedName name="OSRRefD21_3x_3" localSheetId="60">'332'!$G$56</definedName>
    <definedName name="OSRRefD21_3x_3" localSheetId="74">'405'!$G$45</definedName>
    <definedName name="OSRRefD21_3x_3" localSheetId="75">'406'!$G$25</definedName>
    <definedName name="OSRRefD21_3x_3" localSheetId="76">'411'!$G$42</definedName>
    <definedName name="OSRRefD21_3x_3" localSheetId="77">'412'!$G$43</definedName>
    <definedName name="OSRRefD21_3x_3" localSheetId="78">'413'!$G$45</definedName>
    <definedName name="OSRRefD21_3x_3" localSheetId="79">'414'!$G$47</definedName>
    <definedName name="OSRRefD21_3x_3" localSheetId="80">'415'!$G$49</definedName>
    <definedName name="OSRRefD21_3x_3" localSheetId="81">'418'!$G$45</definedName>
    <definedName name="OSRRefD21_3x_3" localSheetId="83">'423'!$G$41:$G$42</definedName>
    <definedName name="OSRRefD21_3x_3" localSheetId="84">'424'!$G$25</definedName>
    <definedName name="OSRRefD21_3x_3" localSheetId="85">'425'!$G$30</definedName>
    <definedName name="OSRRefD21_3x_3" localSheetId="88">'430'!$G$42</definedName>
    <definedName name="OSRRefD21_3x_3" localSheetId="89">'433'!$G$50</definedName>
    <definedName name="OSRRefD21_3x_3" localSheetId="91">'444'!$G$50</definedName>
    <definedName name="OSRRefD21_3x_3" localSheetId="92">'450'!$G$46</definedName>
    <definedName name="OSRRefD21_3x_3" localSheetId="73">'491'!$G$52</definedName>
    <definedName name="OSRRefD21_3x_3" localSheetId="87">'492'!$G$50</definedName>
    <definedName name="OSRRefD21_3x_3" localSheetId="94">'501'!$G$45</definedName>
    <definedName name="OSRRefD21_3x_3" localSheetId="39">'Div 2'!$G$44</definedName>
    <definedName name="OSRRefD21_3x_3" localSheetId="47">'Div 3'!$G$151:$G$152</definedName>
    <definedName name="OSRRefD21_3x_3" localSheetId="71">'Div 4'!$G$55</definedName>
    <definedName name="OSRRefD21_3x_3" localSheetId="93">'Div 5'!$G$45</definedName>
    <definedName name="OSRRefD21_3x_3" localSheetId="62">'Div 6'!$G$76</definedName>
    <definedName name="OSRRefD21_3x_3" localSheetId="2">Summary!$G$181:$G$182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</definedName>
    <definedName name="OSRRefD21_3x_4" localSheetId="48">'300'!$H$147:$H$148</definedName>
    <definedName name="OSRRefD21_3x_4" localSheetId="49">'300 &amp; 317'!$H$171:$H$172</definedName>
    <definedName name="OSRRefD21_3x_4" localSheetId="50">'301'!$H$44:$H$45</definedName>
    <definedName name="OSRRefD21_3x_4" localSheetId="51">'306'!$H$42</definedName>
    <definedName name="OSRRefD21_3x_4" localSheetId="53">'307'!$H$60</definedName>
    <definedName name="OSRRefD21_3x_4" localSheetId="54">'308'!$H$82:$H$83</definedName>
    <definedName name="OSRRefD21_3x_4" localSheetId="65">'309'!$H$43</definedName>
    <definedName name="OSRRefD21_3x_4" localSheetId="64">'310'!$H$52</definedName>
    <definedName name="OSRRefD21_3x_4" localSheetId="72">'310 &amp; 491'!$H$58</definedName>
    <definedName name="OSRRefD21_3x_4" localSheetId="55">'311'!$H$81:$H$82</definedName>
    <definedName name="OSRRefD21_3x_4" localSheetId="66">'313'!$H$47</definedName>
    <definedName name="OSRRefD21_3x_4" localSheetId="58">'315'!$H$103</definedName>
    <definedName name="OSRRefD21_3x_4" localSheetId="61">'316'!$H$54</definedName>
    <definedName name="OSRRefD21_3x_4" localSheetId="63">'317'!$H$76</definedName>
    <definedName name="OSRRefD21_3x_4" localSheetId="67">'321'!$H$46</definedName>
    <definedName name="OSRRefD21_3x_4" localSheetId="68">'322'!$H$44</definedName>
    <definedName name="OSRRefD21_3x_4" localSheetId="69">'325'!$H$43</definedName>
    <definedName name="OSRRefD21_3x_4" localSheetId="59">'326'!$H$70</definedName>
    <definedName name="OSRRefD21_3x_4" localSheetId="52">'330'!$H$64</definedName>
    <definedName name="OSRRefD21_3x_4" localSheetId="57">'331'!$H$104</definedName>
    <definedName name="OSRRefD21_3x_4" localSheetId="60">'332'!$H$56</definedName>
    <definedName name="OSRRefD21_3x_4" localSheetId="74">'405'!$H$45</definedName>
    <definedName name="OSRRefD21_3x_4" localSheetId="75">'406'!$H$25</definedName>
    <definedName name="OSRRefD21_3x_4" localSheetId="76">'411'!$H$42</definedName>
    <definedName name="OSRRefD21_3x_4" localSheetId="77">'412'!$H$43</definedName>
    <definedName name="OSRRefD21_3x_4" localSheetId="78">'413'!$H$45</definedName>
    <definedName name="OSRRefD21_3x_4" localSheetId="79">'414'!$H$47</definedName>
    <definedName name="OSRRefD21_3x_4" localSheetId="80">'415'!$H$49</definedName>
    <definedName name="OSRRefD21_3x_4" localSheetId="81">'418'!$H$45</definedName>
    <definedName name="OSRRefD21_3x_4" localSheetId="83">'423'!$H$41:$H$42</definedName>
    <definedName name="OSRRefD21_3x_4" localSheetId="84">'424'!$H$25</definedName>
    <definedName name="OSRRefD21_3x_4" localSheetId="85">'425'!$H$30</definedName>
    <definedName name="OSRRefD21_3x_4" localSheetId="88">'430'!$H$42</definedName>
    <definedName name="OSRRefD21_3x_4" localSheetId="89">'433'!$H$50</definedName>
    <definedName name="OSRRefD21_3x_4" localSheetId="91">'444'!$H$50</definedName>
    <definedName name="OSRRefD21_3x_4" localSheetId="92">'450'!$H$46</definedName>
    <definedName name="OSRRefD21_3x_4" localSheetId="73">'491'!$H$52</definedName>
    <definedName name="OSRRefD21_3x_4" localSheetId="87">'492'!$H$50</definedName>
    <definedName name="OSRRefD21_3x_4" localSheetId="94">'501'!$H$45</definedName>
    <definedName name="OSRRefD21_3x_4" localSheetId="39">'Div 2'!$H$44</definedName>
    <definedName name="OSRRefD21_3x_4" localSheetId="47">'Div 3'!$H$151:$H$152</definedName>
    <definedName name="OSRRefD21_3x_4" localSheetId="71">'Div 4'!$H$55</definedName>
    <definedName name="OSRRefD21_3x_4" localSheetId="93">'Div 5'!$H$45</definedName>
    <definedName name="OSRRefD21_3x_4" localSheetId="62">'Div 6'!$H$76</definedName>
    <definedName name="OSRRefD21_3x_4" localSheetId="2">Summary!$H$181:$H$182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</definedName>
    <definedName name="OSRRefD21_3x_5" localSheetId="48">'300'!$I$147:$I$148</definedName>
    <definedName name="OSRRefD21_3x_5" localSheetId="49">'300 &amp; 317'!$I$171:$I$172</definedName>
    <definedName name="OSRRefD21_3x_5" localSheetId="50">'301'!$I$44:$I$45</definedName>
    <definedName name="OSRRefD21_3x_5" localSheetId="51">'306'!$I$42</definedName>
    <definedName name="OSRRefD21_3x_5" localSheetId="53">'307'!$I$60</definedName>
    <definedName name="OSRRefD21_3x_5" localSheetId="54">'308'!$I$82:$I$83</definedName>
    <definedName name="OSRRefD21_3x_5" localSheetId="65">'309'!$I$43</definedName>
    <definedName name="OSRRefD21_3x_5" localSheetId="64">'310'!$I$52</definedName>
    <definedName name="OSRRefD21_3x_5" localSheetId="72">'310 &amp; 491'!$I$58</definedName>
    <definedName name="OSRRefD21_3x_5" localSheetId="55">'311'!$I$81:$I$82</definedName>
    <definedName name="OSRRefD21_3x_5" localSheetId="66">'313'!$I$47</definedName>
    <definedName name="OSRRefD21_3x_5" localSheetId="58">'315'!$I$103</definedName>
    <definedName name="OSRRefD21_3x_5" localSheetId="61">'316'!$I$54</definedName>
    <definedName name="OSRRefD21_3x_5" localSheetId="63">'317'!$I$76</definedName>
    <definedName name="OSRRefD21_3x_5" localSheetId="67">'321'!$I$46</definedName>
    <definedName name="OSRRefD21_3x_5" localSheetId="68">'322'!$I$44</definedName>
    <definedName name="OSRRefD21_3x_5" localSheetId="69">'325'!$I$43</definedName>
    <definedName name="OSRRefD21_3x_5" localSheetId="59">'326'!$I$70</definedName>
    <definedName name="OSRRefD21_3x_5" localSheetId="52">'330'!$I$64</definedName>
    <definedName name="OSRRefD21_3x_5" localSheetId="57">'331'!$I$104</definedName>
    <definedName name="OSRRefD21_3x_5" localSheetId="60">'332'!$I$56</definedName>
    <definedName name="OSRRefD21_3x_5" localSheetId="74">'405'!$I$45</definedName>
    <definedName name="OSRRefD21_3x_5" localSheetId="75">'406'!$I$25</definedName>
    <definedName name="OSRRefD21_3x_5" localSheetId="76">'411'!$I$42</definedName>
    <definedName name="OSRRefD21_3x_5" localSheetId="77">'412'!$I$43</definedName>
    <definedName name="OSRRefD21_3x_5" localSheetId="78">'413'!$I$45</definedName>
    <definedName name="OSRRefD21_3x_5" localSheetId="79">'414'!$I$47</definedName>
    <definedName name="OSRRefD21_3x_5" localSheetId="80">'415'!$I$49</definedName>
    <definedName name="OSRRefD21_3x_5" localSheetId="81">'418'!$I$45</definedName>
    <definedName name="OSRRefD21_3x_5" localSheetId="83">'423'!$I$41:$I$42</definedName>
    <definedName name="OSRRefD21_3x_5" localSheetId="84">'424'!$I$25</definedName>
    <definedName name="OSRRefD21_3x_5" localSheetId="85">'425'!$I$30</definedName>
    <definedName name="OSRRefD21_3x_5" localSheetId="88">'430'!$I$42</definedName>
    <definedName name="OSRRefD21_3x_5" localSheetId="89">'433'!$I$50</definedName>
    <definedName name="OSRRefD21_3x_5" localSheetId="91">'444'!$I$50</definedName>
    <definedName name="OSRRefD21_3x_5" localSheetId="92">'450'!$I$46</definedName>
    <definedName name="OSRRefD21_3x_5" localSheetId="73">'491'!$I$52</definedName>
    <definedName name="OSRRefD21_3x_5" localSheetId="87">'492'!$I$50</definedName>
    <definedName name="OSRRefD21_3x_5" localSheetId="94">'501'!$I$45</definedName>
    <definedName name="OSRRefD21_3x_5" localSheetId="39">'Div 2'!$I$44</definedName>
    <definedName name="OSRRefD21_3x_5" localSheetId="47">'Div 3'!$I$151:$I$152</definedName>
    <definedName name="OSRRefD21_3x_5" localSheetId="71">'Div 4'!$I$55</definedName>
    <definedName name="OSRRefD21_3x_5" localSheetId="93">'Div 5'!$I$45</definedName>
    <definedName name="OSRRefD21_3x_5" localSheetId="62">'Div 6'!$I$76</definedName>
    <definedName name="OSRRefD21_3x_5" localSheetId="2">Summary!$I$181:$I$182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</definedName>
    <definedName name="OSRRefD21_3x_6" localSheetId="48">'300'!$J$147:$J$148</definedName>
    <definedName name="OSRRefD21_3x_6" localSheetId="49">'300 &amp; 317'!$J$171:$J$172</definedName>
    <definedName name="OSRRefD21_3x_6" localSheetId="50">'301'!$J$44:$J$45</definedName>
    <definedName name="OSRRefD21_3x_6" localSheetId="51">'306'!$J$42</definedName>
    <definedName name="OSRRefD21_3x_6" localSheetId="53">'307'!$J$60</definedName>
    <definedName name="OSRRefD21_3x_6" localSheetId="54">'308'!$J$82:$J$83</definedName>
    <definedName name="OSRRefD21_3x_6" localSheetId="65">'309'!$J$43</definedName>
    <definedName name="OSRRefD21_3x_6" localSheetId="64">'310'!$J$52</definedName>
    <definedName name="OSRRefD21_3x_6" localSheetId="72">'310 &amp; 491'!$J$58</definedName>
    <definedName name="OSRRefD21_3x_6" localSheetId="55">'311'!$J$81:$J$82</definedName>
    <definedName name="OSRRefD21_3x_6" localSheetId="66">'313'!$J$47</definedName>
    <definedName name="OSRRefD21_3x_6" localSheetId="58">'315'!$J$103</definedName>
    <definedName name="OSRRefD21_3x_6" localSheetId="61">'316'!$J$54</definedName>
    <definedName name="OSRRefD21_3x_6" localSheetId="63">'317'!$J$76</definedName>
    <definedName name="OSRRefD21_3x_6" localSheetId="67">'321'!$J$46</definedName>
    <definedName name="OSRRefD21_3x_6" localSheetId="68">'322'!$J$44</definedName>
    <definedName name="OSRRefD21_3x_6" localSheetId="69">'325'!$J$43</definedName>
    <definedName name="OSRRefD21_3x_6" localSheetId="59">'326'!$J$70</definedName>
    <definedName name="OSRRefD21_3x_6" localSheetId="52">'330'!$J$64</definedName>
    <definedName name="OSRRefD21_3x_6" localSheetId="57">'331'!$J$104</definedName>
    <definedName name="OSRRefD21_3x_6" localSheetId="60">'332'!$J$56</definedName>
    <definedName name="OSRRefD21_3x_6" localSheetId="74">'405'!$J$45</definedName>
    <definedName name="OSRRefD21_3x_6" localSheetId="75">'406'!$J$25</definedName>
    <definedName name="OSRRefD21_3x_6" localSheetId="76">'411'!$J$42</definedName>
    <definedName name="OSRRefD21_3x_6" localSheetId="77">'412'!$J$43</definedName>
    <definedName name="OSRRefD21_3x_6" localSheetId="78">'413'!$J$45</definedName>
    <definedName name="OSRRefD21_3x_6" localSheetId="79">'414'!$J$47</definedName>
    <definedName name="OSRRefD21_3x_6" localSheetId="80">'415'!$J$49</definedName>
    <definedName name="OSRRefD21_3x_6" localSheetId="81">'418'!$J$45</definedName>
    <definedName name="OSRRefD21_3x_6" localSheetId="83">'423'!$J$41:$J$42</definedName>
    <definedName name="OSRRefD21_3x_6" localSheetId="84">'424'!$J$25</definedName>
    <definedName name="OSRRefD21_3x_6" localSheetId="85">'425'!$J$30</definedName>
    <definedName name="OSRRefD21_3x_6" localSheetId="88">'430'!$J$42</definedName>
    <definedName name="OSRRefD21_3x_6" localSheetId="89">'433'!$J$50</definedName>
    <definedName name="OSRRefD21_3x_6" localSheetId="91">'444'!$J$50</definedName>
    <definedName name="OSRRefD21_3x_6" localSheetId="92">'450'!$J$46</definedName>
    <definedName name="OSRRefD21_3x_6" localSheetId="73">'491'!$J$52</definedName>
    <definedName name="OSRRefD21_3x_6" localSheetId="87">'492'!$J$50</definedName>
    <definedName name="OSRRefD21_3x_6" localSheetId="94">'501'!$J$45</definedName>
    <definedName name="OSRRefD21_3x_6" localSheetId="39">'Div 2'!$J$44</definedName>
    <definedName name="OSRRefD21_3x_6" localSheetId="47">'Div 3'!$J$151:$J$152</definedName>
    <definedName name="OSRRefD21_3x_6" localSheetId="71">'Div 4'!$J$55</definedName>
    <definedName name="OSRRefD21_3x_6" localSheetId="93">'Div 5'!$J$45</definedName>
    <definedName name="OSRRefD21_3x_6" localSheetId="62">'Div 6'!$J$76</definedName>
    <definedName name="OSRRefD21_3x_6" localSheetId="2">Summary!$J$181:$J$182</definedName>
    <definedName name="OSRRefD21_3x_7" localSheetId="40">'200'!$K$25:$K$26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</definedName>
    <definedName name="OSRRefD21_3x_7" localSheetId="48">'300'!$K$147:$K$148</definedName>
    <definedName name="OSRRefD21_3x_7" localSheetId="49">'300 &amp; 317'!$K$171:$K$172</definedName>
    <definedName name="OSRRefD21_3x_7" localSheetId="50">'301'!$K$44:$K$45</definedName>
    <definedName name="OSRRefD21_3x_7" localSheetId="51">'306'!$K$42</definedName>
    <definedName name="OSRRefD21_3x_7" localSheetId="53">'307'!$K$60</definedName>
    <definedName name="OSRRefD21_3x_7" localSheetId="54">'308'!$K$82:$K$83</definedName>
    <definedName name="OSRRefD21_3x_7" localSheetId="65">'309'!$K$43</definedName>
    <definedName name="OSRRefD21_3x_7" localSheetId="64">'310'!$K$52</definedName>
    <definedName name="OSRRefD21_3x_7" localSheetId="72">'310 &amp; 491'!$K$58</definedName>
    <definedName name="OSRRefD21_3x_7" localSheetId="55">'311'!$K$81:$K$82</definedName>
    <definedName name="OSRRefD21_3x_7" localSheetId="66">'313'!$K$47</definedName>
    <definedName name="OSRRefD21_3x_7" localSheetId="58">'315'!$K$103</definedName>
    <definedName name="OSRRefD21_3x_7" localSheetId="61">'316'!$K$54</definedName>
    <definedName name="OSRRefD21_3x_7" localSheetId="63">'317'!$K$76</definedName>
    <definedName name="OSRRefD21_3x_7" localSheetId="67">'321'!$K$46</definedName>
    <definedName name="OSRRefD21_3x_7" localSheetId="68">'322'!$K$44</definedName>
    <definedName name="OSRRefD21_3x_7" localSheetId="69">'325'!$K$43</definedName>
    <definedName name="OSRRefD21_3x_7" localSheetId="59">'326'!$K$70</definedName>
    <definedName name="OSRRefD21_3x_7" localSheetId="52">'330'!$K$64</definedName>
    <definedName name="OSRRefD21_3x_7" localSheetId="57">'331'!$K$104</definedName>
    <definedName name="OSRRefD21_3x_7" localSheetId="60">'332'!$K$56</definedName>
    <definedName name="OSRRefD21_3x_7" localSheetId="74">'405'!$K$45</definedName>
    <definedName name="OSRRefD21_3x_7" localSheetId="75">'406'!$K$25</definedName>
    <definedName name="OSRRefD21_3x_7" localSheetId="76">'411'!$K$42</definedName>
    <definedName name="OSRRefD21_3x_7" localSheetId="77">'412'!$K$43</definedName>
    <definedName name="OSRRefD21_3x_7" localSheetId="78">'413'!$K$45</definedName>
    <definedName name="OSRRefD21_3x_7" localSheetId="79">'414'!$K$47</definedName>
    <definedName name="OSRRefD21_3x_7" localSheetId="80">'415'!$K$49</definedName>
    <definedName name="OSRRefD21_3x_7" localSheetId="81">'418'!$K$45</definedName>
    <definedName name="OSRRefD21_3x_7" localSheetId="83">'423'!$K$41:$K$42</definedName>
    <definedName name="OSRRefD21_3x_7" localSheetId="84">'424'!$K$25</definedName>
    <definedName name="OSRRefD21_3x_7" localSheetId="85">'425'!$K$30</definedName>
    <definedName name="OSRRefD21_3x_7" localSheetId="88">'430'!$K$42</definedName>
    <definedName name="OSRRefD21_3x_7" localSheetId="89">'433'!$K$50</definedName>
    <definedName name="OSRRefD21_3x_7" localSheetId="91">'444'!$K$50</definedName>
    <definedName name="OSRRefD21_3x_7" localSheetId="92">'450'!$K$46</definedName>
    <definedName name="OSRRefD21_3x_7" localSheetId="73">'491'!$K$52</definedName>
    <definedName name="OSRRefD21_3x_7" localSheetId="87">'492'!$K$50</definedName>
    <definedName name="OSRRefD21_3x_7" localSheetId="94">'501'!$K$45</definedName>
    <definedName name="OSRRefD21_3x_7" localSheetId="39">'Div 2'!$K$44</definedName>
    <definedName name="OSRRefD21_3x_7" localSheetId="47">'Div 3'!$K$151:$K$152</definedName>
    <definedName name="OSRRefD21_3x_7" localSheetId="71">'Div 4'!$K$55</definedName>
    <definedName name="OSRRefD21_3x_7" localSheetId="93">'Div 5'!$K$45</definedName>
    <definedName name="OSRRefD21_3x_7" localSheetId="62">'Div 6'!$K$76</definedName>
    <definedName name="OSRRefD21_3x_7" localSheetId="2">Summary!$K$181:$K$182</definedName>
    <definedName name="OSRRefD21_3x_8" localSheetId="40">'200'!$L$25:$L$26</definedName>
    <definedName name="OSRRefD21_3x_8" localSheetId="41">'201'!$L$42</definedName>
    <definedName name="OSRRefD21_3x_8" localSheetId="42">'202'!$L$42</definedName>
    <definedName name="OSRRefD21_3x_8" localSheetId="43">'203'!$L$43</definedName>
    <definedName name="OSRRefD21_3x_8" localSheetId="44">'204'!$L$43</definedName>
    <definedName name="OSRRefD21_3x_8" localSheetId="45">'205'!$L$42</definedName>
    <definedName name="OSRRefD21_3x_8" localSheetId="46">'206'!$L$42</definedName>
    <definedName name="OSRRefD21_3x_8" localSheetId="48">'300'!$L$147:$L$148</definedName>
    <definedName name="OSRRefD21_3x_8" localSheetId="49">'300 &amp; 317'!$L$171:$L$172</definedName>
    <definedName name="OSRRefD21_3x_8" localSheetId="50">'301'!$L$44:$L$45</definedName>
    <definedName name="OSRRefD21_3x_8" localSheetId="51">'306'!$L$42</definedName>
    <definedName name="OSRRefD21_3x_8" localSheetId="53">'307'!$L$60</definedName>
    <definedName name="OSRRefD21_3x_8" localSheetId="54">'308'!$L$82:$L$83</definedName>
    <definedName name="OSRRefD21_3x_8" localSheetId="65">'309'!$L$43</definedName>
    <definedName name="OSRRefD21_3x_8" localSheetId="64">'310'!$L$52</definedName>
    <definedName name="OSRRefD21_3x_8" localSheetId="72">'310 &amp; 491'!$L$58</definedName>
    <definedName name="OSRRefD21_3x_8" localSheetId="55">'311'!$L$81:$L$82</definedName>
    <definedName name="OSRRefD21_3x_8" localSheetId="66">'313'!$L$47</definedName>
    <definedName name="OSRRefD21_3x_8" localSheetId="58">'315'!$L$103</definedName>
    <definedName name="OSRRefD21_3x_8" localSheetId="61">'316'!$L$54</definedName>
    <definedName name="OSRRefD21_3x_8" localSheetId="63">'317'!$L$76</definedName>
    <definedName name="OSRRefD21_3x_8" localSheetId="67">'321'!$L$46</definedName>
    <definedName name="OSRRefD21_3x_8" localSheetId="68">'322'!$L$44</definedName>
    <definedName name="OSRRefD21_3x_8" localSheetId="69">'325'!$L$43</definedName>
    <definedName name="OSRRefD21_3x_8" localSheetId="59">'326'!$L$70</definedName>
    <definedName name="OSRRefD21_3x_8" localSheetId="52">'330'!$L$64</definedName>
    <definedName name="OSRRefD21_3x_8" localSheetId="57">'331'!$L$104</definedName>
    <definedName name="OSRRefD21_3x_8" localSheetId="60">'332'!$L$56</definedName>
    <definedName name="OSRRefD21_3x_8" localSheetId="74">'405'!$L$45</definedName>
    <definedName name="OSRRefD21_3x_8" localSheetId="75">'406'!$L$25</definedName>
    <definedName name="OSRRefD21_3x_8" localSheetId="76">'411'!$L$42</definedName>
    <definedName name="OSRRefD21_3x_8" localSheetId="77">'412'!$L$43</definedName>
    <definedName name="OSRRefD21_3x_8" localSheetId="78">'413'!$L$45</definedName>
    <definedName name="OSRRefD21_3x_8" localSheetId="79">'414'!$L$47</definedName>
    <definedName name="OSRRefD21_3x_8" localSheetId="80">'415'!$L$49</definedName>
    <definedName name="OSRRefD21_3x_8" localSheetId="81">'418'!$L$45</definedName>
    <definedName name="OSRRefD21_3x_8" localSheetId="83">'423'!$L$41:$L$42</definedName>
    <definedName name="OSRRefD21_3x_8" localSheetId="84">'424'!$L$25</definedName>
    <definedName name="OSRRefD21_3x_8" localSheetId="85">'425'!$L$30</definedName>
    <definedName name="OSRRefD21_3x_8" localSheetId="88">'430'!$L$42</definedName>
    <definedName name="OSRRefD21_3x_8" localSheetId="89">'433'!$L$50</definedName>
    <definedName name="OSRRefD21_3x_8" localSheetId="91">'444'!$L$50</definedName>
    <definedName name="OSRRefD21_3x_8" localSheetId="92">'450'!$L$46</definedName>
    <definedName name="OSRRefD21_3x_8" localSheetId="73">'491'!$L$52</definedName>
    <definedName name="OSRRefD21_3x_8" localSheetId="87">'492'!$L$50</definedName>
    <definedName name="OSRRefD21_3x_8" localSheetId="94">'501'!$L$45</definedName>
    <definedName name="OSRRefD21_3x_8" localSheetId="39">'Div 2'!$L$44</definedName>
    <definedName name="OSRRefD21_3x_8" localSheetId="47">'Div 3'!$L$151:$L$152</definedName>
    <definedName name="OSRRefD21_3x_8" localSheetId="71">'Div 4'!$L$55</definedName>
    <definedName name="OSRRefD21_3x_8" localSheetId="93">'Div 5'!$L$45</definedName>
    <definedName name="OSRRefD21_3x_8" localSheetId="62">'Div 6'!$L$76</definedName>
    <definedName name="OSRRefD21_3x_8" localSheetId="2">Summary!$L$181:$L$182</definedName>
    <definedName name="OSRRefD21_3x_9" localSheetId="40">'200'!$M$25:$M$26</definedName>
    <definedName name="OSRRefD21_3x_9" localSheetId="41">'201'!$M$42</definedName>
    <definedName name="OSRRefD21_3x_9" localSheetId="42">'202'!$M$42</definedName>
    <definedName name="OSRRefD21_3x_9" localSheetId="43">'203'!$M$43</definedName>
    <definedName name="OSRRefD21_3x_9" localSheetId="44">'204'!$M$43</definedName>
    <definedName name="OSRRefD21_3x_9" localSheetId="45">'205'!$M$42</definedName>
    <definedName name="OSRRefD21_3x_9" localSheetId="46">'206'!$M$42</definedName>
    <definedName name="OSRRefD21_3x_9" localSheetId="48">'300'!$M$147:$M$148</definedName>
    <definedName name="OSRRefD21_3x_9" localSheetId="49">'300 &amp; 317'!$M$171:$M$172</definedName>
    <definedName name="OSRRefD21_3x_9" localSheetId="50">'301'!$M$44:$M$45</definedName>
    <definedName name="OSRRefD21_3x_9" localSheetId="51">'306'!$M$42</definedName>
    <definedName name="OSRRefD21_3x_9" localSheetId="53">'307'!$M$60</definedName>
    <definedName name="OSRRefD21_3x_9" localSheetId="54">'308'!$M$82:$M$83</definedName>
    <definedName name="OSRRefD21_3x_9" localSheetId="65">'309'!$M$43</definedName>
    <definedName name="OSRRefD21_3x_9" localSheetId="64">'310'!$M$52</definedName>
    <definedName name="OSRRefD21_3x_9" localSheetId="72">'310 &amp; 491'!$M$58</definedName>
    <definedName name="OSRRefD21_3x_9" localSheetId="55">'311'!$M$81:$M$82</definedName>
    <definedName name="OSRRefD21_3x_9" localSheetId="66">'313'!$M$47</definedName>
    <definedName name="OSRRefD21_3x_9" localSheetId="58">'315'!$M$103</definedName>
    <definedName name="OSRRefD21_3x_9" localSheetId="61">'316'!$M$54</definedName>
    <definedName name="OSRRefD21_3x_9" localSheetId="63">'317'!$M$76</definedName>
    <definedName name="OSRRefD21_3x_9" localSheetId="67">'321'!$M$46</definedName>
    <definedName name="OSRRefD21_3x_9" localSheetId="68">'322'!$M$44</definedName>
    <definedName name="OSRRefD21_3x_9" localSheetId="69">'325'!$M$43</definedName>
    <definedName name="OSRRefD21_3x_9" localSheetId="59">'326'!$M$70</definedName>
    <definedName name="OSRRefD21_3x_9" localSheetId="52">'330'!$M$64</definedName>
    <definedName name="OSRRefD21_3x_9" localSheetId="57">'331'!$M$104</definedName>
    <definedName name="OSRRefD21_3x_9" localSheetId="60">'332'!$M$56</definedName>
    <definedName name="OSRRefD21_3x_9" localSheetId="74">'405'!$M$45</definedName>
    <definedName name="OSRRefD21_3x_9" localSheetId="75">'406'!$M$25</definedName>
    <definedName name="OSRRefD21_3x_9" localSheetId="76">'411'!$M$42</definedName>
    <definedName name="OSRRefD21_3x_9" localSheetId="77">'412'!$M$43</definedName>
    <definedName name="OSRRefD21_3x_9" localSheetId="78">'413'!$M$45</definedName>
    <definedName name="OSRRefD21_3x_9" localSheetId="79">'414'!$M$47</definedName>
    <definedName name="OSRRefD21_3x_9" localSheetId="80">'415'!$M$49</definedName>
    <definedName name="OSRRefD21_3x_9" localSheetId="81">'418'!$M$45</definedName>
    <definedName name="OSRRefD21_3x_9" localSheetId="83">'423'!$M$41:$M$42</definedName>
    <definedName name="OSRRefD21_3x_9" localSheetId="84">'424'!$M$25</definedName>
    <definedName name="OSRRefD21_3x_9" localSheetId="85">'425'!$M$30</definedName>
    <definedName name="OSRRefD21_3x_9" localSheetId="88">'430'!$M$42</definedName>
    <definedName name="OSRRefD21_3x_9" localSheetId="89">'433'!$M$50</definedName>
    <definedName name="OSRRefD21_3x_9" localSheetId="91">'444'!$M$50</definedName>
    <definedName name="OSRRefD21_3x_9" localSheetId="92">'450'!$M$46</definedName>
    <definedName name="OSRRefD21_3x_9" localSheetId="73">'491'!$M$52</definedName>
    <definedName name="OSRRefD21_3x_9" localSheetId="87">'492'!$M$50</definedName>
    <definedName name="OSRRefD21_3x_9" localSheetId="94">'501'!$M$45</definedName>
    <definedName name="OSRRefD21_3x_9" localSheetId="39">'Div 2'!$M$44</definedName>
    <definedName name="OSRRefD21_3x_9" localSheetId="47">'Div 3'!$M$151:$M$152</definedName>
    <definedName name="OSRRefD21_3x_9" localSheetId="71">'Div 4'!$M$55</definedName>
    <definedName name="OSRRefD21_3x_9" localSheetId="93">'Div 5'!$M$45</definedName>
    <definedName name="OSRRefD21_3x_9" localSheetId="62">'Div 6'!$M$76</definedName>
    <definedName name="OSRRefD21_3x_9" localSheetId="2">Summary!$M$181:$M$182</definedName>
    <definedName name="OSRRefD21_4_0x" localSheetId="41">'201'!$D$44:$M$44</definedName>
    <definedName name="OSRRefD21_4_0x" localSheetId="42">'202'!$D$44:$M$44</definedName>
    <definedName name="OSRRefD21_4_0x" localSheetId="43">'203'!$D$45:$M$45</definedName>
    <definedName name="OSRRefD21_4_0x" localSheetId="44">'204'!$D$45:$M$45</definedName>
    <definedName name="OSRRefD21_4_0x" localSheetId="45">'205'!$D$44:$M$44</definedName>
    <definedName name="OSRRefD21_4_0x" localSheetId="46">'206'!$D$44:$M$44</definedName>
    <definedName name="OSRRefD21_4_0x" localSheetId="48">'300'!$D$150:$M$150</definedName>
    <definedName name="OSRRefD21_4_0x" localSheetId="49">'300 &amp; 317'!$D$174:$M$174</definedName>
    <definedName name="OSRRefD21_4_0x" localSheetId="50">'301'!$D$47:$M$47</definedName>
    <definedName name="OSRRefD21_4_0x" localSheetId="51">'306'!$D$44:$M$44</definedName>
    <definedName name="OSRRefD21_4_0x" localSheetId="53">'307'!$D$62:$M$62</definedName>
    <definedName name="OSRRefD21_4_0x" localSheetId="54">'308'!$D$85:$M$85</definedName>
    <definedName name="OSRRefD21_4_0x" localSheetId="65">'309'!$D$45:$M$45</definedName>
    <definedName name="OSRRefD21_4_0x" localSheetId="64">'310'!$D$54:$M$54</definedName>
    <definedName name="OSRRefD21_4_0x" localSheetId="72">'310 &amp; 491'!$D$60:$M$60</definedName>
    <definedName name="OSRRefD21_4_0x" localSheetId="55">'311'!$D$84:$M$84</definedName>
    <definedName name="OSRRefD21_4_0x" localSheetId="66">'313'!$D$49:$M$49</definedName>
    <definedName name="OSRRefD21_4_0x" localSheetId="58">'315'!$D$105:$M$105</definedName>
    <definedName name="OSRRefD21_4_0x" localSheetId="61">'316'!$D$56:$M$56</definedName>
    <definedName name="OSRRefD21_4_0x" localSheetId="63">'317'!$D$78:$M$78</definedName>
    <definedName name="OSRRefD21_4_0x" localSheetId="67">'321'!$D$48:$M$48</definedName>
    <definedName name="OSRRefD21_4_0x" localSheetId="68">'322'!$D$46:$M$46</definedName>
    <definedName name="OSRRefD21_4_0x" localSheetId="69">'325'!$D$45:$M$45</definedName>
    <definedName name="OSRRefD21_4_0x" localSheetId="59">'326'!$D$72:$M$72</definedName>
    <definedName name="OSRRefD21_4_0x" localSheetId="52">'330'!$D$66:$M$66</definedName>
    <definedName name="OSRRefD21_4_0x" localSheetId="57">'331'!$D$106:$M$106</definedName>
    <definedName name="OSRRefD21_4_0x" localSheetId="60">'332'!$D$58:$M$58</definedName>
    <definedName name="OSRRefD21_4_0x" localSheetId="74">'405'!$D$47:$M$47</definedName>
    <definedName name="OSRRefD21_4_0x" localSheetId="75">'406'!$D$27:$M$27</definedName>
    <definedName name="OSRRefD21_4_0x" localSheetId="76">'411'!$D$44:$M$44</definedName>
    <definedName name="OSRRefD21_4_0x" localSheetId="77">'412'!$D$45:$M$45</definedName>
    <definedName name="OSRRefD21_4_0x" localSheetId="78">'413'!$D$47:$M$47</definedName>
    <definedName name="OSRRefD21_4_0x" localSheetId="79">'414'!$D$49:$M$49</definedName>
    <definedName name="OSRRefD21_4_0x" localSheetId="80">'415'!$D$51:$M$51</definedName>
    <definedName name="OSRRefD21_4_0x" localSheetId="81">'418'!$D$47:$M$47</definedName>
    <definedName name="OSRRefD21_4_0x" localSheetId="83">'423'!$D$44:$M$44</definedName>
    <definedName name="OSRRefD21_4_0x" localSheetId="85">'425'!$D$32:$M$32</definedName>
    <definedName name="OSRRefD21_4_0x" localSheetId="88">'430'!$D$44:$M$44</definedName>
    <definedName name="OSRRefD21_4_0x" localSheetId="89">'433'!$D$52:$M$52</definedName>
    <definedName name="OSRRefD21_4_0x" localSheetId="91">'444'!$D$52:$M$52</definedName>
    <definedName name="OSRRefD21_4_0x" localSheetId="92">'450'!$D$48:$M$48</definedName>
    <definedName name="OSRRefD21_4_0x" localSheetId="73">'491'!$D$54:$M$54</definedName>
    <definedName name="OSRRefD21_4_0x" localSheetId="87">'492'!$D$52:$M$52</definedName>
    <definedName name="OSRRefD21_4_0x" localSheetId="94">'501'!$D$47:$M$47</definedName>
    <definedName name="OSRRefD21_4_0x" localSheetId="39">'Div 2'!$D$46:$M$46</definedName>
    <definedName name="OSRRefD21_4_0x" localSheetId="47">'Div 3'!$D$154:$M$154</definedName>
    <definedName name="OSRRefD21_4_0x" localSheetId="71">'Div 4'!$D$57:$M$57</definedName>
    <definedName name="OSRRefD21_4_0x" localSheetId="93">'Div 5'!$D$47:$M$47</definedName>
    <definedName name="OSRRefD21_4_0x" localSheetId="62">'Div 6'!$D$78:$M$78</definedName>
    <definedName name="OSRRefD21_4_0x" localSheetId="2">Summary!$D$184:$M$184</definedName>
    <definedName name="OSRRefD21_4_1x" localSheetId="42">'202'!$D$45:$M$45</definedName>
    <definedName name="OSRRefD21_4_1x" localSheetId="45">'205'!$D$45:$M$45</definedName>
    <definedName name="OSRRefD21_4_1x" localSheetId="74">'405'!$D$48:$M$48</definedName>
    <definedName name="OSRRefD21_4_1x" localSheetId="76">'411'!$D$45:$M$45</definedName>
    <definedName name="OSRRefD21_4_1x" localSheetId="77">'412'!$D$46:$M$46</definedName>
    <definedName name="OSRRefD21_4_1x" localSheetId="81">'418'!$D$48:$M$48</definedName>
    <definedName name="OSRRefD21_4_1x" localSheetId="85">'425'!$D$33:$M$33</definedName>
    <definedName name="OSRRefD21_4_1x" localSheetId="88">'430'!$D$45:$M$45</definedName>
    <definedName name="OSRRefD21_4_2x" localSheetId="88">'430'!$D$46:$M$46</definedName>
    <definedName name="OSRRefD21_4x_0" localSheetId="41">'201'!$D$44</definedName>
    <definedName name="OSRRefD21_4x_0" localSheetId="42">'202'!$D$44:$D$45</definedName>
    <definedName name="OSRRefD21_4x_0" localSheetId="43">'203'!$D$45</definedName>
    <definedName name="OSRRefD21_4x_0" localSheetId="44">'204'!$D$45</definedName>
    <definedName name="OSRRefD21_4x_0" localSheetId="45">'205'!$D$44:$D$45</definedName>
    <definedName name="OSRRefD21_4x_0" localSheetId="46">'206'!$D$44</definedName>
    <definedName name="OSRRefD21_4x_0" localSheetId="48">'300'!$D$150</definedName>
    <definedName name="OSRRefD21_4x_0" localSheetId="49">'300 &amp; 317'!$D$174</definedName>
    <definedName name="OSRRefD21_4x_0" localSheetId="50">'301'!$D$47</definedName>
    <definedName name="OSRRefD21_4x_0" localSheetId="51">'306'!$D$44</definedName>
    <definedName name="OSRRefD21_4x_0" localSheetId="53">'307'!$D$62</definedName>
    <definedName name="OSRRefD21_4x_0" localSheetId="54">'308'!$D$85</definedName>
    <definedName name="OSRRefD21_4x_0" localSheetId="65">'309'!$D$45</definedName>
    <definedName name="OSRRefD21_4x_0" localSheetId="64">'310'!$D$54</definedName>
    <definedName name="OSRRefD21_4x_0" localSheetId="72">'310 &amp; 491'!$D$60</definedName>
    <definedName name="OSRRefD21_4x_0" localSheetId="55">'311'!$D$84</definedName>
    <definedName name="OSRRefD21_4x_0" localSheetId="66">'313'!$D$49</definedName>
    <definedName name="OSRRefD21_4x_0" localSheetId="58">'315'!$D$105</definedName>
    <definedName name="OSRRefD21_4x_0" localSheetId="61">'316'!$D$56</definedName>
    <definedName name="OSRRefD21_4x_0" localSheetId="63">'317'!$D$78</definedName>
    <definedName name="OSRRefD21_4x_0" localSheetId="67">'321'!$D$48</definedName>
    <definedName name="OSRRefD21_4x_0" localSheetId="68">'322'!$D$46</definedName>
    <definedName name="OSRRefD21_4x_0" localSheetId="69">'325'!$D$45</definedName>
    <definedName name="OSRRefD21_4x_0" localSheetId="59">'326'!$D$72</definedName>
    <definedName name="OSRRefD21_4x_0" localSheetId="52">'330'!$D$66</definedName>
    <definedName name="OSRRefD21_4x_0" localSheetId="57">'331'!$D$106</definedName>
    <definedName name="OSRRefD21_4x_0" localSheetId="60">'332'!$D$58</definedName>
    <definedName name="OSRRefD21_4x_0" localSheetId="74">'405'!$D$47:$D$48</definedName>
    <definedName name="OSRRefD21_4x_0" localSheetId="75">'406'!$D$27</definedName>
    <definedName name="OSRRefD21_4x_0" localSheetId="76">'411'!$D$44:$D$45</definedName>
    <definedName name="OSRRefD21_4x_0" localSheetId="77">'412'!$D$45:$D$46</definedName>
    <definedName name="OSRRefD21_4x_0" localSheetId="78">'413'!$D$47</definedName>
    <definedName name="OSRRefD21_4x_0" localSheetId="79">'414'!$D$49</definedName>
    <definedName name="OSRRefD21_4x_0" localSheetId="80">'415'!$D$51</definedName>
    <definedName name="OSRRefD21_4x_0" localSheetId="81">'418'!$D$47:$D$48</definedName>
    <definedName name="OSRRefD21_4x_0" localSheetId="83">'423'!$D$44</definedName>
    <definedName name="OSRRefD21_4x_0" localSheetId="85">'425'!$D$32:$D$33</definedName>
    <definedName name="OSRRefD21_4x_0" localSheetId="88">'430'!$D$44:$D$46</definedName>
    <definedName name="OSRRefD21_4x_0" localSheetId="89">'433'!$D$52</definedName>
    <definedName name="OSRRefD21_4x_0" localSheetId="91">'444'!$D$52</definedName>
    <definedName name="OSRRefD21_4x_0" localSheetId="92">'450'!$D$48</definedName>
    <definedName name="OSRRefD21_4x_0" localSheetId="73">'491'!$D$54</definedName>
    <definedName name="OSRRefD21_4x_0" localSheetId="87">'492'!$D$52</definedName>
    <definedName name="OSRRefD21_4x_0" localSheetId="94">'501'!$D$47</definedName>
    <definedName name="OSRRefD21_4x_0" localSheetId="39">'Div 2'!$D$46</definedName>
    <definedName name="OSRRefD21_4x_0" localSheetId="47">'Div 3'!$D$154</definedName>
    <definedName name="OSRRefD21_4x_0" localSheetId="71">'Div 4'!$D$57</definedName>
    <definedName name="OSRRefD21_4x_0" localSheetId="93">'Div 5'!$D$47</definedName>
    <definedName name="OSRRefD21_4x_0" localSheetId="62">'Div 6'!$D$78</definedName>
    <definedName name="OSRRefD21_4x_0" localSheetId="2">Summary!$D$184</definedName>
    <definedName name="OSRRefD21_4x_1" localSheetId="41">'201'!$E$44</definedName>
    <definedName name="OSRRefD21_4x_1" localSheetId="42">'202'!$E$44:$E$45</definedName>
    <definedName name="OSRRefD21_4x_1" localSheetId="43">'203'!$E$45</definedName>
    <definedName name="OSRRefD21_4x_1" localSheetId="44">'204'!$E$45</definedName>
    <definedName name="OSRRefD21_4x_1" localSheetId="45">'205'!$E$44:$E$45</definedName>
    <definedName name="OSRRefD21_4x_1" localSheetId="46">'206'!$E$44</definedName>
    <definedName name="OSRRefD21_4x_1" localSheetId="48">'300'!$E$150</definedName>
    <definedName name="OSRRefD21_4x_1" localSheetId="49">'300 &amp; 317'!$E$174</definedName>
    <definedName name="OSRRefD21_4x_1" localSheetId="50">'301'!$E$47</definedName>
    <definedName name="OSRRefD21_4x_1" localSheetId="51">'306'!$E$44</definedName>
    <definedName name="OSRRefD21_4x_1" localSheetId="53">'307'!$E$62</definedName>
    <definedName name="OSRRefD21_4x_1" localSheetId="54">'308'!$E$85</definedName>
    <definedName name="OSRRefD21_4x_1" localSheetId="65">'309'!$E$45</definedName>
    <definedName name="OSRRefD21_4x_1" localSheetId="64">'310'!$E$54</definedName>
    <definedName name="OSRRefD21_4x_1" localSheetId="72">'310 &amp; 491'!$E$60</definedName>
    <definedName name="OSRRefD21_4x_1" localSheetId="55">'311'!$E$84</definedName>
    <definedName name="OSRRefD21_4x_1" localSheetId="66">'313'!$E$49</definedName>
    <definedName name="OSRRefD21_4x_1" localSheetId="58">'315'!$E$105</definedName>
    <definedName name="OSRRefD21_4x_1" localSheetId="61">'316'!$E$56</definedName>
    <definedName name="OSRRefD21_4x_1" localSheetId="63">'317'!$E$78</definedName>
    <definedName name="OSRRefD21_4x_1" localSheetId="67">'321'!$E$48</definedName>
    <definedName name="OSRRefD21_4x_1" localSheetId="68">'322'!$E$46</definedName>
    <definedName name="OSRRefD21_4x_1" localSheetId="69">'325'!$E$45</definedName>
    <definedName name="OSRRefD21_4x_1" localSheetId="59">'326'!$E$72</definedName>
    <definedName name="OSRRefD21_4x_1" localSheetId="52">'330'!$E$66</definedName>
    <definedName name="OSRRefD21_4x_1" localSheetId="57">'331'!$E$106</definedName>
    <definedName name="OSRRefD21_4x_1" localSheetId="60">'332'!$E$58</definedName>
    <definedName name="OSRRefD21_4x_1" localSheetId="74">'405'!$E$47:$E$48</definedName>
    <definedName name="OSRRefD21_4x_1" localSheetId="75">'406'!$E$27</definedName>
    <definedName name="OSRRefD21_4x_1" localSheetId="76">'411'!$E$44:$E$45</definedName>
    <definedName name="OSRRefD21_4x_1" localSheetId="77">'412'!$E$45:$E$46</definedName>
    <definedName name="OSRRefD21_4x_1" localSheetId="78">'413'!$E$47</definedName>
    <definedName name="OSRRefD21_4x_1" localSheetId="79">'414'!$E$49</definedName>
    <definedName name="OSRRefD21_4x_1" localSheetId="80">'415'!$E$51</definedName>
    <definedName name="OSRRefD21_4x_1" localSheetId="81">'418'!$E$47:$E$48</definedName>
    <definedName name="OSRRefD21_4x_1" localSheetId="83">'423'!$E$44</definedName>
    <definedName name="OSRRefD21_4x_1" localSheetId="85">'425'!$E$32:$E$33</definedName>
    <definedName name="OSRRefD21_4x_1" localSheetId="88">'430'!$E$44:$E$46</definedName>
    <definedName name="OSRRefD21_4x_1" localSheetId="89">'433'!$E$52</definedName>
    <definedName name="OSRRefD21_4x_1" localSheetId="91">'444'!$E$52</definedName>
    <definedName name="OSRRefD21_4x_1" localSheetId="92">'450'!$E$48</definedName>
    <definedName name="OSRRefD21_4x_1" localSheetId="73">'491'!$E$54</definedName>
    <definedName name="OSRRefD21_4x_1" localSheetId="87">'492'!$E$52</definedName>
    <definedName name="OSRRefD21_4x_1" localSheetId="94">'501'!$E$47</definedName>
    <definedName name="OSRRefD21_4x_1" localSheetId="39">'Div 2'!$E$46</definedName>
    <definedName name="OSRRefD21_4x_1" localSheetId="47">'Div 3'!$E$154</definedName>
    <definedName name="OSRRefD21_4x_1" localSheetId="71">'Div 4'!$E$57</definedName>
    <definedName name="OSRRefD21_4x_1" localSheetId="93">'Div 5'!$E$47</definedName>
    <definedName name="OSRRefD21_4x_1" localSheetId="62">'Div 6'!$E$78</definedName>
    <definedName name="OSRRefD21_4x_1" localSheetId="2">Summary!$E$184</definedName>
    <definedName name="OSRRefD21_4x_2" localSheetId="41">'201'!$F$44</definedName>
    <definedName name="OSRRefD21_4x_2" localSheetId="42">'202'!$F$44:$F$45</definedName>
    <definedName name="OSRRefD21_4x_2" localSheetId="43">'203'!$F$45</definedName>
    <definedName name="OSRRefD21_4x_2" localSheetId="44">'204'!$F$45</definedName>
    <definedName name="OSRRefD21_4x_2" localSheetId="45">'205'!$F$44:$F$45</definedName>
    <definedName name="OSRRefD21_4x_2" localSheetId="46">'206'!$F$44</definedName>
    <definedName name="OSRRefD21_4x_2" localSheetId="48">'300'!$F$150</definedName>
    <definedName name="OSRRefD21_4x_2" localSheetId="49">'300 &amp; 317'!$F$174</definedName>
    <definedName name="OSRRefD21_4x_2" localSheetId="50">'301'!$F$47</definedName>
    <definedName name="OSRRefD21_4x_2" localSheetId="51">'306'!$F$44</definedName>
    <definedName name="OSRRefD21_4x_2" localSheetId="53">'307'!$F$62</definedName>
    <definedName name="OSRRefD21_4x_2" localSheetId="54">'308'!$F$85</definedName>
    <definedName name="OSRRefD21_4x_2" localSheetId="65">'309'!$F$45</definedName>
    <definedName name="OSRRefD21_4x_2" localSheetId="64">'310'!$F$54</definedName>
    <definedName name="OSRRefD21_4x_2" localSheetId="72">'310 &amp; 491'!$F$60</definedName>
    <definedName name="OSRRefD21_4x_2" localSheetId="55">'311'!$F$84</definedName>
    <definedName name="OSRRefD21_4x_2" localSheetId="66">'313'!$F$49</definedName>
    <definedName name="OSRRefD21_4x_2" localSheetId="58">'315'!$F$105</definedName>
    <definedName name="OSRRefD21_4x_2" localSheetId="61">'316'!$F$56</definedName>
    <definedName name="OSRRefD21_4x_2" localSheetId="63">'317'!$F$78</definedName>
    <definedName name="OSRRefD21_4x_2" localSheetId="67">'321'!$F$48</definedName>
    <definedName name="OSRRefD21_4x_2" localSheetId="68">'322'!$F$46</definedName>
    <definedName name="OSRRefD21_4x_2" localSheetId="69">'325'!$F$45</definedName>
    <definedName name="OSRRefD21_4x_2" localSheetId="59">'326'!$F$72</definedName>
    <definedName name="OSRRefD21_4x_2" localSheetId="52">'330'!$F$66</definedName>
    <definedName name="OSRRefD21_4x_2" localSheetId="57">'331'!$F$106</definedName>
    <definedName name="OSRRefD21_4x_2" localSheetId="60">'332'!$F$58</definedName>
    <definedName name="OSRRefD21_4x_2" localSheetId="74">'405'!$F$47:$F$48</definedName>
    <definedName name="OSRRefD21_4x_2" localSheetId="75">'406'!$F$27</definedName>
    <definedName name="OSRRefD21_4x_2" localSheetId="76">'411'!$F$44:$F$45</definedName>
    <definedName name="OSRRefD21_4x_2" localSheetId="77">'412'!$F$45:$F$46</definedName>
    <definedName name="OSRRefD21_4x_2" localSheetId="78">'413'!$F$47</definedName>
    <definedName name="OSRRefD21_4x_2" localSheetId="79">'414'!$F$49</definedName>
    <definedName name="OSRRefD21_4x_2" localSheetId="80">'415'!$F$51</definedName>
    <definedName name="OSRRefD21_4x_2" localSheetId="81">'418'!$F$47:$F$48</definedName>
    <definedName name="OSRRefD21_4x_2" localSheetId="83">'423'!$F$44</definedName>
    <definedName name="OSRRefD21_4x_2" localSheetId="85">'425'!$F$32:$F$33</definedName>
    <definedName name="OSRRefD21_4x_2" localSheetId="88">'430'!$F$44:$F$46</definedName>
    <definedName name="OSRRefD21_4x_2" localSheetId="89">'433'!$F$52</definedName>
    <definedName name="OSRRefD21_4x_2" localSheetId="91">'444'!$F$52</definedName>
    <definedName name="OSRRefD21_4x_2" localSheetId="92">'450'!$F$48</definedName>
    <definedName name="OSRRefD21_4x_2" localSheetId="73">'491'!$F$54</definedName>
    <definedName name="OSRRefD21_4x_2" localSheetId="87">'492'!$F$52</definedName>
    <definedName name="OSRRefD21_4x_2" localSheetId="94">'501'!$F$47</definedName>
    <definedName name="OSRRefD21_4x_2" localSheetId="39">'Div 2'!$F$46</definedName>
    <definedName name="OSRRefD21_4x_2" localSheetId="47">'Div 3'!$F$154</definedName>
    <definedName name="OSRRefD21_4x_2" localSheetId="71">'Div 4'!$F$57</definedName>
    <definedName name="OSRRefD21_4x_2" localSheetId="93">'Div 5'!$F$47</definedName>
    <definedName name="OSRRefD21_4x_2" localSheetId="62">'Div 6'!$F$78</definedName>
    <definedName name="OSRRefD21_4x_2" localSheetId="2">Summary!$F$184</definedName>
    <definedName name="OSRRefD21_4x_3" localSheetId="41">'201'!$G$44</definedName>
    <definedName name="OSRRefD21_4x_3" localSheetId="42">'202'!$G$44:$G$45</definedName>
    <definedName name="OSRRefD21_4x_3" localSheetId="43">'203'!$G$45</definedName>
    <definedName name="OSRRefD21_4x_3" localSheetId="44">'204'!$G$45</definedName>
    <definedName name="OSRRefD21_4x_3" localSheetId="45">'205'!$G$44:$G$45</definedName>
    <definedName name="OSRRefD21_4x_3" localSheetId="46">'206'!$G$44</definedName>
    <definedName name="OSRRefD21_4x_3" localSheetId="48">'300'!$G$150</definedName>
    <definedName name="OSRRefD21_4x_3" localSheetId="49">'300 &amp; 317'!$G$174</definedName>
    <definedName name="OSRRefD21_4x_3" localSheetId="50">'301'!$G$47</definedName>
    <definedName name="OSRRefD21_4x_3" localSheetId="51">'306'!$G$44</definedName>
    <definedName name="OSRRefD21_4x_3" localSheetId="53">'307'!$G$62</definedName>
    <definedName name="OSRRefD21_4x_3" localSheetId="54">'308'!$G$85</definedName>
    <definedName name="OSRRefD21_4x_3" localSheetId="65">'309'!$G$45</definedName>
    <definedName name="OSRRefD21_4x_3" localSheetId="64">'310'!$G$54</definedName>
    <definedName name="OSRRefD21_4x_3" localSheetId="72">'310 &amp; 491'!$G$60</definedName>
    <definedName name="OSRRefD21_4x_3" localSheetId="55">'311'!$G$84</definedName>
    <definedName name="OSRRefD21_4x_3" localSheetId="66">'313'!$G$49</definedName>
    <definedName name="OSRRefD21_4x_3" localSheetId="58">'315'!$G$105</definedName>
    <definedName name="OSRRefD21_4x_3" localSheetId="61">'316'!$G$56</definedName>
    <definedName name="OSRRefD21_4x_3" localSheetId="63">'317'!$G$78</definedName>
    <definedName name="OSRRefD21_4x_3" localSheetId="67">'321'!$G$48</definedName>
    <definedName name="OSRRefD21_4x_3" localSheetId="68">'322'!$G$46</definedName>
    <definedName name="OSRRefD21_4x_3" localSheetId="69">'325'!$G$45</definedName>
    <definedName name="OSRRefD21_4x_3" localSheetId="59">'326'!$G$72</definedName>
    <definedName name="OSRRefD21_4x_3" localSheetId="52">'330'!$G$66</definedName>
    <definedName name="OSRRefD21_4x_3" localSheetId="57">'331'!$G$106</definedName>
    <definedName name="OSRRefD21_4x_3" localSheetId="60">'332'!$G$58</definedName>
    <definedName name="OSRRefD21_4x_3" localSheetId="74">'405'!$G$47:$G$48</definedName>
    <definedName name="OSRRefD21_4x_3" localSheetId="75">'406'!$G$27</definedName>
    <definedName name="OSRRefD21_4x_3" localSheetId="76">'411'!$G$44:$G$45</definedName>
    <definedName name="OSRRefD21_4x_3" localSheetId="77">'412'!$G$45:$G$46</definedName>
    <definedName name="OSRRefD21_4x_3" localSheetId="78">'413'!$G$47</definedName>
    <definedName name="OSRRefD21_4x_3" localSheetId="79">'414'!$G$49</definedName>
    <definedName name="OSRRefD21_4x_3" localSheetId="80">'415'!$G$51</definedName>
    <definedName name="OSRRefD21_4x_3" localSheetId="81">'418'!$G$47:$G$48</definedName>
    <definedName name="OSRRefD21_4x_3" localSheetId="83">'423'!$G$44</definedName>
    <definedName name="OSRRefD21_4x_3" localSheetId="85">'425'!$G$32:$G$33</definedName>
    <definedName name="OSRRefD21_4x_3" localSheetId="88">'430'!$G$44:$G$46</definedName>
    <definedName name="OSRRefD21_4x_3" localSheetId="89">'433'!$G$52</definedName>
    <definedName name="OSRRefD21_4x_3" localSheetId="91">'444'!$G$52</definedName>
    <definedName name="OSRRefD21_4x_3" localSheetId="92">'450'!$G$48</definedName>
    <definedName name="OSRRefD21_4x_3" localSheetId="73">'491'!$G$54</definedName>
    <definedName name="OSRRefD21_4x_3" localSheetId="87">'492'!$G$52</definedName>
    <definedName name="OSRRefD21_4x_3" localSheetId="94">'501'!$G$47</definedName>
    <definedName name="OSRRefD21_4x_3" localSheetId="39">'Div 2'!$G$46</definedName>
    <definedName name="OSRRefD21_4x_3" localSheetId="47">'Div 3'!$G$154</definedName>
    <definedName name="OSRRefD21_4x_3" localSheetId="71">'Div 4'!$G$57</definedName>
    <definedName name="OSRRefD21_4x_3" localSheetId="93">'Div 5'!$G$47</definedName>
    <definedName name="OSRRefD21_4x_3" localSheetId="62">'Div 6'!$G$78</definedName>
    <definedName name="OSRRefD21_4x_3" localSheetId="2">Summary!$G$184</definedName>
    <definedName name="OSRRefD21_4x_4" localSheetId="41">'201'!$H$44</definedName>
    <definedName name="OSRRefD21_4x_4" localSheetId="42">'202'!$H$44:$H$45</definedName>
    <definedName name="OSRRefD21_4x_4" localSheetId="43">'203'!$H$45</definedName>
    <definedName name="OSRRefD21_4x_4" localSheetId="44">'204'!$H$45</definedName>
    <definedName name="OSRRefD21_4x_4" localSheetId="45">'205'!$H$44:$H$45</definedName>
    <definedName name="OSRRefD21_4x_4" localSheetId="46">'206'!$H$44</definedName>
    <definedName name="OSRRefD21_4x_4" localSheetId="48">'300'!$H$150</definedName>
    <definedName name="OSRRefD21_4x_4" localSheetId="49">'300 &amp; 317'!$H$174</definedName>
    <definedName name="OSRRefD21_4x_4" localSheetId="50">'301'!$H$47</definedName>
    <definedName name="OSRRefD21_4x_4" localSheetId="51">'306'!$H$44</definedName>
    <definedName name="OSRRefD21_4x_4" localSheetId="53">'307'!$H$62</definedName>
    <definedName name="OSRRefD21_4x_4" localSheetId="54">'308'!$H$85</definedName>
    <definedName name="OSRRefD21_4x_4" localSheetId="65">'309'!$H$45</definedName>
    <definedName name="OSRRefD21_4x_4" localSheetId="64">'310'!$H$54</definedName>
    <definedName name="OSRRefD21_4x_4" localSheetId="72">'310 &amp; 491'!$H$60</definedName>
    <definedName name="OSRRefD21_4x_4" localSheetId="55">'311'!$H$84</definedName>
    <definedName name="OSRRefD21_4x_4" localSheetId="66">'313'!$H$49</definedName>
    <definedName name="OSRRefD21_4x_4" localSheetId="58">'315'!$H$105</definedName>
    <definedName name="OSRRefD21_4x_4" localSheetId="61">'316'!$H$56</definedName>
    <definedName name="OSRRefD21_4x_4" localSheetId="63">'317'!$H$78</definedName>
    <definedName name="OSRRefD21_4x_4" localSheetId="67">'321'!$H$48</definedName>
    <definedName name="OSRRefD21_4x_4" localSheetId="68">'322'!$H$46</definedName>
    <definedName name="OSRRefD21_4x_4" localSheetId="69">'325'!$H$45</definedName>
    <definedName name="OSRRefD21_4x_4" localSheetId="59">'326'!$H$72</definedName>
    <definedName name="OSRRefD21_4x_4" localSheetId="52">'330'!$H$66</definedName>
    <definedName name="OSRRefD21_4x_4" localSheetId="57">'331'!$H$106</definedName>
    <definedName name="OSRRefD21_4x_4" localSheetId="60">'332'!$H$58</definedName>
    <definedName name="OSRRefD21_4x_4" localSheetId="74">'405'!$H$47:$H$48</definedName>
    <definedName name="OSRRefD21_4x_4" localSheetId="75">'406'!$H$27</definedName>
    <definedName name="OSRRefD21_4x_4" localSheetId="76">'411'!$H$44:$H$45</definedName>
    <definedName name="OSRRefD21_4x_4" localSheetId="77">'412'!$H$45:$H$46</definedName>
    <definedName name="OSRRefD21_4x_4" localSheetId="78">'413'!$H$47</definedName>
    <definedName name="OSRRefD21_4x_4" localSheetId="79">'414'!$H$49</definedName>
    <definedName name="OSRRefD21_4x_4" localSheetId="80">'415'!$H$51</definedName>
    <definedName name="OSRRefD21_4x_4" localSheetId="81">'418'!$H$47:$H$48</definedName>
    <definedName name="OSRRefD21_4x_4" localSheetId="83">'423'!$H$44</definedName>
    <definedName name="OSRRefD21_4x_4" localSheetId="85">'425'!$H$32:$H$33</definedName>
    <definedName name="OSRRefD21_4x_4" localSheetId="88">'430'!$H$44:$H$46</definedName>
    <definedName name="OSRRefD21_4x_4" localSheetId="89">'433'!$H$52</definedName>
    <definedName name="OSRRefD21_4x_4" localSheetId="91">'444'!$H$52</definedName>
    <definedName name="OSRRefD21_4x_4" localSheetId="92">'450'!$H$48</definedName>
    <definedName name="OSRRefD21_4x_4" localSheetId="73">'491'!$H$54</definedName>
    <definedName name="OSRRefD21_4x_4" localSheetId="87">'492'!$H$52</definedName>
    <definedName name="OSRRefD21_4x_4" localSheetId="94">'501'!$H$47</definedName>
    <definedName name="OSRRefD21_4x_4" localSheetId="39">'Div 2'!$H$46</definedName>
    <definedName name="OSRRefD21_4x_4" localSheetId="47">'Div 3'!$H$154</definedName>
    <definedName name="OSRRefD21_4x_4" localSheetId="71">'Div 4'!$H$57</definedName>
    <definedName name="OSRRefD21_4x_4" localSheetId="93">'Div 5'!$H$47</definedName>
    <definedName name="OSRRefD21_4x_4" localSheetId="62">'Div 6'!$H$78</definedName>
    <definedName name="OSRRefD21_4x_4" localSheetId="2">Summary!$H$184</definedName>
    <definedName name="OSRRefD21_4x_5" localSheetId="41">'201'!$I$44</definedName>
    <definedName name="OSRRefD21_4x_5" localSheetId="42">'202'!$I$44:$I$45</definedName>
    <definedName name="OSRRefD21_4x_5" localSheetId="43">'203'!$I$45</definedName>
    <definedName name="OSRRefD21_4x_5" localSheetId="44">'204'!$I$45</definedName>
    <definedName name="OSRRefD21_4x_5" localSheetId="45">'205'!$I$44:$I$45</definedName>
    <definedName name="OSRRefD21_4x_5" localSheetId="46">'206'!$I$44</definedName>
    <definedName name="OSRRefD21_4x_5" localSheetId="48">'300'!$I$150</definedName>
    <definedName name="OSRRefD21_4x_5" localSheetId="49">'300 &amp; 317'!$I$174</definedName>
    <definedName name="OSRRefD21_4x_5" localSheetId="50">'301'!$I$47</definedName>
    <definedName name="OSRRefD21_4x_5" localSheetId="51">'306'!$I$44</definedName>
    <definedName name="OSRRefD21_4x_5" localSheetId="53">'307'!$I$62</definedName>
    <definedName name="OSRRefD21_4x_5" localSheetId="54">'308'!$I$85</definedName>
    <definedName name="OSRRefD21_4x_5" localSheetId="65">'309'!$I$45</definedName>
    <definedName name="OSRRefD21_4x_5" localSheetId="64">'310'!$I$54</definedName>
    <definedName name="OSRRefD21_4x_5" localSheetId="72">'310 &amp; 491'!$I$60</definedName>
    <definedName name="OSRRefD21_4x_5" localSheetId="55">'311'!$I$84</definedName>
    <definedName name="OSRRefD21_4x_5" localSheetId="66">'313'!$I$49</definedName>
    <definedName name="OSRRefD21_4x_5" localSheetId="58">'315'!$I$105</definedName>
    <definedName name="OSRRefD21_4x_5" localSheetId="61">'316'!$I$56</definedName>
    <definedName name="OSRRefD21_4x_5" localSheetId="63">'317'!$I$78</definedName>
    <definedName name="OSRRefD21_4x_5" localSheetId="67">'321'!$I$48</definedName>
    <definedName name="OSRRefD21_4x_5" localSheetId="68">'322'!$I$46</definedName>
    <definedName name="OSRRefD21_4x_5" localSheetId="69">'325'!$I$45</definedName>
    <definedName name="OSRRefD21_4x_5" localSheetId="59">'326'!$I$72</definedName>
    <definedName name="OSRRefD21_4x_5" localSheetId="52">'330'!$I$66</definedName>
    <definedName name="OSRRefD21_4x_5" localSheetId="57">'331'!$I$106</definedName>
    <definedName name="OSRRefD21_4x_5" localSheetId="60">'332'!$I$58</definedName>
    <definedName name="OSRRefD21_4x_5" localSheetId="74">'405'!$I$47:$I$48</definedName>
    <definedName name="OSRRefD21_4x_5" localSheetId="75">'406'!$I$27</definedName>
    <definedName name="OSRRefD21_4x_5" localSheetId="76">'411'!$I$44:$I$45</definedName>
    <definedName name="OSRRefD21_4x_5" localSheetId="77">'412'!$I$45:$I$46</definedName>
    <definedName name="OSRRefD21_4x_5" localSheetId="78">'413'!$I$47</definedName>
    <definedName name="OSRRefD21_4x_5" localSheetId="79">'414'!$I$49</definedName>
    <definedName name="OSRRefD21_4x_5" localSheetId="80">'415'!$I$51</definedName>
    <definedName name="OSRRefD21_4x_5" localSheetId="81">'418'!$I$47:$I$48</definedName>
    <definedName name="OSRRefD21_4x_5" localSheetId="83">'423'!$I$44</definedName>
    <definedName name="OSRRefD21_4x_5" localSheetId="85">'425'!$I$32:$I$33</definedName>
    <definedName name="OSRRefD21_4x_5" localSheetId="88">'430'!$I$44:$I$46</definedName>
    <definedName name="OSRRefD21_4x_5" localSheetId="89">'433'!$I$52</definedName>
    <definedName name="OSRRefD21_4x_5" localSheetId="91">'444'!$I$52</definedName>
    <definedName name="OSRRefD21_4x_5" localSheetId="92">'450'!$I$48</definedName>
    <definedName name="OSRRefD21_4x_5" localSheetId="73">'491'!$I$54</definedName>
    <definedName name="OSRRefD21_4x_5" localSheetId="87">'492'!$I$52</definedName>
    <definedName name="OSRRefD21_4x_5" localSheetId="94">'501'!$I$47</definedName>
    <definedName name="OSRRefD21_4x_5" localSheetId="39">'Div 2'!$I$46</definedName>
    <definedName name="OSRRefD21_4x_5" localSheetId="47">'Div 3'!$I$154</definedName>
    <definedName name="OSRRefD21_4x_5" localSheetId="71">'Div 4'!$I$57</definedName>
    <definedName name="OSRRefD21_4x_5" localSheetId="93">'Div 5'!$I$47</definedName>
    <definedName name="OSRRefD21_4x_5" localSheetId="62">'Div 6'!$I$78</definedName>
    <definedName name="OSRRefD21_4x_5" localSheetId="2">Summary!$I$184</definedName>
    <definedName name="OSRRefD21_4x_6" localSheetId="41">'201'!$J$44</definedName>
    <definedName name="OSRRefD21_4x_6" localSheetId="42">'202'!$J$44:$J$45</definedName>
    <definedName name="OSRRefD21_4x_6" localSheetId="43">'203'!$J$45</definedName>
    <definedName name="OSRRefD21_4x_6" localSheetId="44">'204'!$J$45</definedName>
    <definedName name="OSRRefD21_4x_6" localSheetId="45">'205'!$J$44:$J$45</definedName>
    <definedName name="OSRRefD21_4x_6" localSheetId="46">'206'!$J$44</definedName>
    <definedName name="OSRRefD21_4x_6" localSheetId="48">'300'!$J$150</definedName>
    <definedName name="OSRRefD21_4x_6" localSheetId="49">'300 &amp; 317'!$J$174</definedName>
    <definedName name="OSRRefD21_4x_6" localSheetId="50">'301'!$J$47</definedName>
    <definedName name="OSRRefD21_4x_6" localSheetId="51">'306'!$J$44</definedName>
    <definedName name="OSRRefD21_4x_6" localSheetId="53">'307'!$J$62</definedName>
    <definedName name="OSRRefD21_4x_6" localSheetId="54">'308'!$J$85</definedName>
    <definedName name="OSRRefD21_4x_6" localSheetId="65">'309'!$J$45</definedName>
    <definedName name="OSRRefD21_4x_6" localSheetId="64">'310'!$J$54</definedName>
    <definedName name="OSRRefD21_4x_6" localSheetId="72">'310 &amp; 491'!$J$60</definedName>
    <definedName name="OSRRefD21_4x_6" localSheetId="55">'311'!$J$84</definedName>
    <definedName name="OSRRefD21_4x_6" localSheetId="66">'313'!$J$49</definedName>
    <definedName name="OSRRefD21_4x_6" localSheetId="58">'315'!$J$105</definedName>
    <definedName name="OSRRefD21_4x_6" localSheetId="61">'316'!$J$56</definedName>
    <definedName name="OSRRefD21_4x_6" localSheetId="63">'317'!$J$78</definedName>
    <definedName name="OSRRefD21_4x_6" localSheetId="67">'321'!$J$48</definedName>
    <definedName name="OSRRefD21_4x_6" localSheetId="68">'322'!$J$46</definedName>
    <definedName name="OSRRefD21_4x_6" localSheetId="69">'325'!$J$45</definedName>
    <definedName name="OSRRefD21_4x_6" localSheetId="59">'326'!$J$72</definedName>
    <definedName name="OSRRefD21_4x_6" localSheetId="52">'330'!$J$66</definedName>
    <definedName name="OSRRefD21_4x_6" localSheetId="57">'331'!$J$106</definedName>
    <definedName name="OSRRefD21_4x_6" localSheetId="60">'332'!$J$58</definedName>
    <definedName name="OSRRefD21_4x_6" localSheetId="74">'405'!$J$47:$J$48</definedName>
    <definedName name="OSRRefD21_4x_6" localSheetId="75">'406'!$J$27</definedName>
    <definedName name="OSRRefD21_4x_6" localSheetId="76">'411'!$J$44:$J$45</definedName>
    <definedName name="OSRRefD21_4x_6" localSheetId="77">'412'!$J$45:$J$46</definedName>
    <definedName name="OSRRefD21_4x_6" localSheetId="78">'413'!$J$47</definedName>
    <definedName name="OSRRefD21_4x_6" localSheetId="79">'414'!$J$49</definedName>
    <definedName name="OSRRefD21_4x_6" localSheetId="80">'415'!$J$51</definedName>
    <definedName name="OSRRefD21_4x_6" localSheetId="81">'418'!$J$47:$J$48</definedName>
    <definedName name="OSRRefD21_4x_6" localSheetId="83">'423'!$J$44</definedName>
    <definedName name="OSRRefD21_4x_6" localSheetId="85">'425'!$J$32:$J$33</definedName>
    <definedName name="OSRRefD21_4x_6" localSheetId="88">'430'!$J$44:$J$46</definedName>
    <definedName name="OSRRefD21_4x_6" localSheetId="89">'433'!$J$52</definedName>
    <definedName name="OSRRefD21_4x_6" localSheetId="91">'444'!$J$52</definedName>
    <definedName name="OSRRefD21_4x_6" localSheetId="92">'450'!$J$48</definedName>
    <definedName name="OSRRefD21_4x_6" localSheetId="73">'491'!$J$54</definedName>
    <definedName name="OSRRefD21_4x_6" localSheetId="87">'492'!$J$52</definedName>
    <definedName name="OSRRefD21_4x_6" localSheetId="94">'501'!$J$47</definedName>
    <definedName name="OSRRefD21_4x_6" localSheetId="39">'Div 2'!$J$46</definedName>
    <definedName name="OSRRefD21_4x_6" localSheetId="47">'Div 3'!$J$154</definedName>
    <definedName name="OSRRefD21_4x_6" localSheetId="71">'Div 4'!$J$57</definedName>
    <definedName name="OSRRefD21_4x_6" localSheetId="93">'Div 5'!$J$47</definedName>
    <definedName name="OSRRefD21_4x_6" localSheetId="62">'Div 6'!$J$78</definedName>
    <definedName name="OSRRefD21_4x_6" localSheetId="2">Summary!$J$184</definedName>
    <definedName name="OSRRefD21_4x_7" localSheetId="41">'201'!$K$44</definedName>
    <definedName name="OSRRefD21_4x_7" localSheetId="42">'202'!$K$44:$K$45</definedName>
    <definedName name="OSRRefD21_4x_7" localSheetId="43">'203'!$K$45</definedName>
    <definedName name="OSRRefD21_4x_7" localSheetId="44">'204'!$K$45</definedName>
    <definedName name="OSRRefD21_4x_7" localSheetId="45">'205'!$K$44:$K$45</definedName>
    <definedName name="OSRRefD21_4x_7" localSheetId="46">'206'!$K$44</definedName>
    <definedName name="OSRRefD21_4x_7" localSheetId="48">'300'!$K$150</definedName>
    <definedName name="OSRRefD21_4x_7" localSheetId="49">'300 &amp; 317'!$K$174</definedName>
    <definedName name="OSRRefD21_4x_7" localSheetId="50">'301'!$K$47</definedName>
    <definedName name="OSRRefD21_4x_7" localSheetId="51">'306'!$K$44</definedName>
    <definedName name="OSRRefD21_4x_7" localSheetId="53">'307'!$K$62</definedName>
    <definedName name="OSRRefD21_4x_7" localSheetId="54">'308'!$K$85</definedName>
    <definedName name="OSRRefD21_4x_7" localSheetId="65">'309'!$K$45</definedName>
    <definedName name="OSRRefD21_4x_7" localSheetId="64">'310'!$K$54</definedName>
    <definedName name="OSRRefD21_4x_7" localSheetId="72">'310 &amp; 491'!$K$60</definedName>
    <definedName name="OSRRefD21_4x_7" localSheetId="55">'311'!$K$84</definedName>
    <definedName name="OSRRefD21_4x_7" localSheetId="66">'313'!$K$49</definedName>
    <definedName name="OSRRefD21_4x_7" localSheetId="58">'315'!$K$105</definedName>
    <definedName name="OSRRefD21_4x_7" localSheetId="61">'316'!$K$56</definedName>
    <definedName name="OSRRefD21_4x_7" localSheetId="63">'317'!$K$78</definedName>
    <definedName name="OSRRefD21_4x_7" localSheetId="67">'321'!$K$48</definedName>
    <definedName name="OSRRefD21_4x_7" localSheetId="68">'322'!$K$46</definedName>
    <definedName name="OSRRefD21_4x_7" localSheetId="69">'325'!$K$45</definedName>
    <definedName name="OSRRefD21_4x_7" localSheetId="59">'326'!$K$72</definedName>
    <definedName name="OSRRefD21_4x_7" localSheetId="52">'330'!$K$66</definedName>
    <definedName name="OSRRefD21_4x_7" localSheetId="57">'331'!$K$106</definedName>
    <definedName name="OSRRefD21_4x_7" localSheetId="60">'332'!$K$58</definedName>
    <definedName name="OSRRefD21_4x_7" localSheetId="74">'405'!$K$47:$K$48</definedName>
    <definedName name="OSRRefD21_4x_7" localSheetId="75">'406'!$K$27</definedName>
    <definedName name="OSRRefD21_4x_7" localSheetId="76">'411'!$K$44:$K$45</definedName>
    <definedName name="OSRRefD21_4x_7" localSheetId="77">'412'!$K$45:$K$46</definedName>
    <definedName name="OSRRefD21_4x_7" localSheetId="78">'413'!$K$47</definedName>
    <definedName name="OSRRefD21_4x_7" localSheetId="79">'414'!$K$49</definedName>
    <definedName name="OSRRefD21_4x_7" localSheetId="80">'415'!$K$51</definedName>
    <definedName name="OSRRefD21_4x_7" localSheetId="81">'418'!$K$47:$K$48</definedName>
    <definedName name="OSRRefD21_4x_7" localSheetId="83">'423'!$K$44</definedName>
    <definedName name="OSRRefD21_4x_7" localSheetId="85">'425'!$K$32:$K$33</definedName>
    <definedName name="OSRRefD21_4x_7" localSheetId="88">'430'!$K$44:$K$46</definedName>
    <definedName name="OSRRefD21_4x_7" localSheetId="89">'433'!$K$52</definedName>
    <definedName name="OSRRefD21_4x_7" localSheetId="91">'444'!$K$52</definedName>
    <definedName name="OSRRefD21_4x_7" localSheetId="92">'450'!$K$48</definedName>
    <definedName name="OSRRefD21_4x_7" localSheetId="73">'491'!$K$54</definedName>
    <definedName name="OSRRefD21_4x_7" localSheetId="87">'492'!$K$52</definedName>
    <definedName name="OSRRefD21_4x_7" localSheetId="94">'501'!$K$47</definedName>
    <definedName name="OSRRefD21_4x_7" localSheetId="39">'Div 2'!$K$46</definedName>
    <definedName name="OSRRefD21_4x_7" localSheetId="47">'Div 3'!$K$154</definedName>
    <definedName name="OSRRefD21_4x_7" localSheetId="71">'Div 4'!$K$57</definedName>
    <definedName name="OSRRefD21_4x_7" localSheetId="93">'Div 5'!$K$47</definedName>
    <definedName name="OSRRefD21_4x_7" localSheetId="62">'Div 6'!$K$78</definedName>
    <definedName name="OSRRefD21_4x_7" localSheetId="2">Summary!$K$184</definedName>
    <definedName name="OSRRefD21_4x_8" localSheetId="41">'201'!$L$44</definedName>
    <definedName name="OSRRefD21_4x_8" localSheetId="42">'202'!$L$44:$L$45</definedName>
    <definedName name="OSRRefD21_4x_8" localSheetId="43">'203'!$L$45</definedName>
    <definedName name="OSRRefD21_4x_8" localSheetId="44">'204'!$L$45</definedName>
    <definedName name="OSRRefD21_4x_8" localSheetId="45">'205'!$L$44:$L$45</definedName>
    <definedName name="OSRRefD21_4x_8" localSheetId="46">'206'!$L$44</definedName>
    <definedName name="OSRRefD21_4x_8" localSheetId="48">'300'!$L$150</definedName>
    <definedName name="OSRRefD21_4x_8" localSheetId="49">'300 &amp; 317'!$L$174</definedName>
    <definedName name="OSRRefD21_4x_8" localSheetId="50">'301'!$L$47</definedName>
    <definedName name="OSRRefD21_4x_8" localSheetId="51">'306'!$L$44</definedName>
    <definedName name="OSRRefD21_4x_8" localSheetId="53">'307'!$L$62</definedName>
    <definedName name="OSRRefD21_4x_8" localSheetId="54">'308'!$L$85</definedName>
    <definedName name="OSRRefD21_4x_8" localSheetId="65">'309'!$L$45</definedName>
    <definedName name="OSRRefD21_4x_8" localSheetId="64">'310'!$L$54</definedName>
    <definedName name="OSRRefD21_4x_8" localSheetId="72">'310 &amp; 491'!$L$60</definedName>
    <definedName name="OSRRefD21_4x_8" localSheetId="55">'311'!$L$84</definedName>
    <definedName name="OSRRefD21_4x_8" localSheetId="66">'313'!$L$49</definedName>
    <definedName name="OSRRefD21_4x_8" localSheetId="58">'315'!$L$105</definedName>
    <definedName name="OSRRefD21_4x_8" localSheetId="61">'316'!$L$56</definedName>
    <definedName name="OSRRefD21_4x_8" localSheetId="63">'317'!$L$78</definedName>
    <definedName name="OSRRefD21_4x_8" localSheetId="67">'321'!$L$48</definedName>
    <definedName name="OSRRefD21_4x_8" localSheetId="68">'322'!$L$46</definedName>
    <definedName name="OSRRefD21_4x_8" localSheetId="69">'325'!$L$45</definedName>
    <definedName name="OSRRefD21_4x_8" localSheetId="59">'326'!$L$72</definedName>
    <definedName name="OSRRefD21_4x_8" localSheetId="52">'330'!$L$66</definedName>
    <definedName name="OSRRefD21_4x_8" localSheetId="57">'331'!$L$106</definedName>
    <definedName name="OSRRefD21_4x_8" localSheetId="60">'332'!$L$58</definedName>
    <definedName name="OSRRefD21_4x_8" localSheetId="74">'405'!$L$47:$L$48</definedName>
    <definedName name="OSRRefD21_4x_8" localSheetId="75">'406'!$L$27</definedName>
    <definedName name="OSRRefD21_4x_8" localSheetId="76">'411'!$L$44:$L$45</definedName>
    <definedName name="OSRRefD21_4x_8" localSheetId="77">'412'!$L$45:$L$46</definedName>
    <definedName name="OSRRefD21_4x_8" localSheetId="78">'413'!$L$47</definedName>
    <definedName name="OSRRefD21_4x_8" localSheetId="79">'414'!$L$49</definedName>
    <definedName name="OSRRefD21_4x_8" localSheetId="80">'415'!$L$51</definedName>
    <definedName name="OSRRefD21_4x_8" localSheetId="81">'418'!$L$47:$L$48</definedName>
    <definedName name="OSRRefD21_4x_8" localSheetId="83">'423'!$L$44</definedName>
    <definedName name="OSRRefD21_4x_8" localSheetId="85">'425'!$L$32:$L$33</definedName>
    <definedName name="OSRRefD21_4x_8" localSheetId="88">'430'!$L$44:$L$46</definedName>
    <definedName name="OSRRefD21_4x_8" localSheetId="89">'433'!$L$52</definedName>
    <definedName name="OSRRefD21_4x_8" localSheetId="91">'444'!$L$52</definedName>
    <definedName name="OSRRefD21_4x_8" localSheetId="92">'450'!$L$48</definedName>
    <definedName name="OSRRefD21_4x_8" localSheetId="73">'491'!$L$54</definedName>
    <definedName name="OSRRefD21_4x_8" localSheetId="87">'492'!$L$52</definedName>
    <definedName name="OSRRefD21_4x_8" localSheetId="94">'501'!$L$47</definedName>
    <definedName name="OSRRefD21_4x_8" localSheetId="39">'Div 2'!$L$46</definedName>
    <definedName name="OSRRefD21_4x_8" localSheetId="47">'Div 3'!$L$154</definedName>
    <definedName name="OSRRefD21_4x_8" localSheetId="71">'Div 4'!$L$57</definedName>
    <definedName name="OSRRefD21_4x_8" localSheetId="93">'Div 5'!$L$47</definedName>
    <definedName name="OSRRefD21_4x_8" localSheetId="62">'Div 6'!$L$78</definedName>
    <definedName name="OSRRefD21_4x_8" localSheetId="2">Summary!$L$184</definedName>
    <definedName name="OSRRefD21_4x_9" localSheetId="41">'201'!$M$44</definedName>
    <definedName name="OSRRefD21_4x_9" localSheetId="42">'202'!$M$44:$M$45</definedName>
    <definedName name="OSRRefD21_4x_9" localSheetId="43">'203'!$M$45</definedName>
    <definedName name="OSRRefD21_4x_9" localSheetId="44">'204'!$M$45</definedName>
    <definedName name="OSRRefD21_4x_9" localSheetId="45">'205'!$M$44:$M$45</definedName>
    <definedName name="OSRRefD21_4x_9" localSheetId="46">'206'!$M$44</definedName>
    <definedName name="OSRRefD21_4x_9" localSheetId="48">'300'!$M$150</definedName>
    <definedName name="OSRRefD21_4x_9" localSheetId="49">'300 &amp; 317'!$M$174</definedName>
    <definedName name="OSRRefD21_4x_9" localSheetId="50">'301'!$M$47</definedName>
    <definedName name="OSRRefD21_4x_9" localSheetId="51">'306'!$M$44</definedName>
    <definedName name="OSRRefD21_4x_9" localSheetId="53">'307'!$M$62</definedName>
    <definedName name="OSRRefD21_4x_9" localSheetId="54">'308'!$M$85</definedName>
    <definedName name="OSRRefD21_4x_9" localSheetId="65">'309'!$M$45</definedName>
    <definedName name="OSRRefD21_4x_9" localSheetId="64">'310'!$M$54</definedName>
    <definedName name="OSRRefD21_4x_9" localSheetId="72">'310 &amp; 491'!$M$60</definedName>
    <definedName name="OSRRefD21_4x_9" localSheetId="55">'311'!$M$84</definedName>
    <definedName name="OSRRefD21_4x_9" localSheetId="66">'313'!$M$49</definedName>
    <definedName name="OSRRefD21_4x_9" localSheetId="58">'315'!$M$105</definedName>
    <definedName name="OSRRefD21_4x_9" localSheetId="61">'316'!$M$56</definedName>
    <definedName name="OSRRefD21_4x_9" localSheetId="63">'317'!$M$78</definedName>
    <definedName name="OSRRefD21_4x_9" localSheetId="67">'321'!$M$48</definedName>
    <definedName name="OSRRefD21_4x_9" localSheetId="68">'322'!$M$46</definedName>
    <definedName name="OSRRefD21_4x_9" localSheetId="69">'325'!$M$45</definedName>
    <definedName name="OSRRefD21_4x_9" localSheetId="59">'326'!$M$72</definedName>
    <definedName name="OSRRefD21_4x_9" localSheetId="52">'330'!$M$66</definedName>
    <definedName name="OSRRefD21_4x_9" localSheetId="57">'331'!$M$106</definedName>
    <definedName name="OSRRefD21_4x_9" localSheetId="60">'332'!$M$58</definedName>
    <definedName name="OSRRefD21_4x_9" localSheetId="74">'405'!$M$47:$M$48</definedName>
    <definedName name="OSRRefD21_4x_9" localSheetId="75">'406'!$M$27</definedName>
    <definedName name="OSRRefD21_4x_9" localSheetId="76">'411'!$M$44:$M$45</definedName>
    <definedName name="OSRRefD21_4x_9" localSheetId="77">'412'!$M$45:$M$46</definedName>
    <definedName name="OSRRefD21_4x_9" localSheetId="78">'413'!$M$47</definedName>
    <definedName name="OSRRefD21_4x_9" localSheetId="79">'414'!$M$49</definedName>
    <definedName name="OSRRefD21_4x_9" localSheetId="80">'415'!$M$51</definedName>
    <definedName name="OSRRefD21_4x_9" localSheetId="81">'418'!$M$47:$M$48</definedName>
    <definedName name="OSRRefD21_4x_9" localSheetId="83">'423'!$M$44</definedName>
    <definedName name="OSRRefD21_4x_9" localSheetId="85">'425'!$M$32:$M$33</definedName>
    <definedName name="OSRRefD21_4x_9" localSheetId="88">'430'!$M$44:$M$46</definedName>
    <definedName name="OSRRefD21_4x_9" localSheetId="89">'433'!$M$52</definedName>
    <definedName name="OSRRefD21_4x_9" localSheetId="91">'444'!$M$52</definedName>
    <definedName name="OSRRefD21_4x_9" localSheetId="92">'450'!$M$48</definedName>
    <definedName name="OSRRefD21_4x_9" localSheetId="73">'491'!$M$54</definedName>
    <definedName name="OSRRefD21_4x_9" localSheetId="87">'492'!$M$52</definedName>
    <definedName name="OSRRefD21_4x_9" localSheetId="94">'501'!$M$47</definedName>
    <definedName name="OSRRefD21_4x_9" localSheetId="39">'Div 2'!$M$46</definedName>
    <definedName name="OSRRefD21_4x_9" localSheetId="47">'Div 3'!$M$154</definedName>
    <definedName name="OSRRefD21_4x_9" localSheetId="71">'Div 4'!$M$57</definedName>
    <definedName name="OSRRefD21_4x_9" localSheetId="93">'Div 5'!$M$47</definedName>
    <definedName name="OSRRefD21_4x_9" localSheetId="62">'Div 6'!$M$78</definedName>
    <definedName name="OSRRefD21_4x_9" localSheetId="2">Summary!$M$184</definedName>
    <definedName name="OSRRefD21_5_0x" localSheetId="41">'201'!$D$46:$M$46</definedName>
    <definedName name="OSRRefD21_5_0x" localSheetId="42">'202'!$D$47:$M$47</definedName>
    <definedName name="OSRRefD21_5_0x" localSheetId="43">'203'!$D$47:$M$47</definedName>
    <definedName name="OSRRefD21_5_0x" localSheetId="44">'204'!$D$47:$M$47</definedName>
    <definedName name="OSRRefD21_5_0x" localSheetId="45">'205'!$D$47:$M$47</definedName>
    <definedName name="OSRRefD21_5_0x" localSheetId="46">'206'!$D$46:$M$46</definedName>
    <definedName name="OSRRefD21_5_0x" localSheetId="48">'300'!$D$152:$M$152</definedName>
    <definedName name="OSRRefD21_5_0x" localSheetId="49">'300 &amp; 317'!$D$176:$M$176</definedName>
    <definedName name="OSRRefD21_5_0x" localSheetId="50">'301'!$D$49:$M$49</definedName>
    <definedName name="OSRRefD21_5_0x" localSheetId="51">'306'!$D$46:$M$46</definedName>
    <definedName name="OSRRefD21_5_0x" localSheetId="53">'307'!$D$64:$M$64</definedName>
    <definedName name="OSRRefD21_5_0x" localSheetId="54">'308'!$D$87:$M$87</definedName>
    <definedName name="OSRRefD21_5_0x" localSheetId="65">'309'!$D$47:$M$47</definedName>
    <definedName name="OSRRefD21_5_0x" localSheetId="64">'310'!$D$56:$M$56</definedName>
    <definedName name="OSRRefD21_5_0x" localSheetId="72">'310 &amp; 491'!$D$62:$M$62</definedName>
    <definedName name="OSRRefD21_5_0x" localSheetId="55">'311'!$D$86:$M$86</definedName>
    <definedName name="OSRRefD21_5_0x" localSheetId="66">'313'!$D$51:$M$51</definedName>
    <definedName name="OSRRefD21_5_0x" localSheetId="58">'315'!$D$107:$M$107</definedName>
    <definedName name="OSRRefD21_5_0x" localSheetId="61">'316'!$D$58:$M$58</definedName>
    <definedName name="OSRRefD21_5_0x" localSheetId="63">'317'!$D$80:$M$80</definedName>
    <definedName name="OSRRefD21_5_0x" localSheetId="67">'321'!$D$50:$M$50</definedName>
    <definedName name="OSRRefD21_5_0x" localSheetId="68">'322'!$D$48:$M$48</definedName>
    <definedName name="OSRRefD21_5_0x" localSheetId="69">'325'!$D$47:$M$47</definedName>
    <definedName name="OSRRefD21_5_0x" localSheetId="59">'326'!$D$74:$M$74</definedName>
    <definedName name="OSRRefD21_5_0x" localSheetId="52">'330'!$D$68:$M$68</definedName>
    <definedName name="OSRRefD21_5_0x" localSheetId="57">'331'!$D$108:$M$108</definedName>
    <definedName name="OSRRefD21_5_0x" localSheetId="60">'332'!$D$60:$M$60</definedName>
    <definedName name="OSRRefD21_5_0x" localSheetId="74">'405'!$D$50:$M$50</definedName>
    <definedName name="OSRRefD21_5_0x" localSheetId="76">'411'!$D$47:$M$47</definedName>
    <definedName name="OSRRefD21_5_0x" localSheetId="77">'412'!$D$48:$M$48</definedName>
    <definedName name="OSRRefD21_5_0x" localSheetId="78">'413'!$D$49:$M$49</definedName>
    <definedName name="OSRRefD21_5_0x" localSheetId="79">'414'!$D$51:$M$51</definedName>
    <definedName name="OSRRefD21_5_0x" localSheetId="80">'415'!$D$53:$M$53</definedName>
    <definedName name="OSRRefD21_5_0x" localSheetId="81">'418'!$D$50:$M$50</definedName>
    <definedName name="OSRRefD21_5_0x" localSheetId="83">'423'!$D$46:$M$46</definedName>
    <definedName name="OSRRefD21_5_0x" localSheetId="85">'425'!$D$35:$M$35</definedName>
    <definedName name="OSRRefD21_5_0x" localSheetId="88">'430'!$D$48:$M$48</definedName>
    <definedName name="OSRRefD21_5_0x" localSheetId="89">'433'!$D$54:$M$54</definedName>
    <definedName name="OSRRefD21_5_0x" localSheetId="91">'444'!$D$54:$M$54</definedName>
    <definedName name="OSRRefD21_5_0x" localSheetId="92">'450'!$D$50:$M$50</definedName>
    <definedName name="OSRRefD21_5_0x" localSheetId="73">'491'!$D$56:$M$56</definedName>
    <definedName name="OSRRefD21_5_0x" localSheetId="87">'492'!$D$54:$M$54</definedName>
    <definedName name="OSRRefD21_5_0x" localSheetId="94">'501'!$D$49:$M$49</definedName>
    <definedName name="OSRRefD21_5_0x" localSheetId="39">'Div 2'!$D$48:$M$48</definedName>
    <definedName name="OSRRefD21_5_0x" localSheetId="47">'Div 3'!$D$156:$M$156</definedName>
    <definedName name="OSRRefD21_5_0x" localSheetId="71">'Div 4'!$D$59:$M$59</definedName>
    <definedName name="OSRRefD21_5_0x" localSheetId="93">'Div 5'!$D$49:$M$49</definedName>
    <definedName name="OSRRefD21_5_0x" localSheetId="62">'Div 6'!$D$80:$M$80</definedName>
    <definedName name="OSRRefD21_5_0x" localSheetId="2">Summary!$D$186:$M$186</definedName>
    <definedName name="OSRRefD21_5_1x" localSheetId="44">'204'!$D$48:$M$48</definedName>
    <definedName name="OSRRefD21_5_1x" localSheetId="48">'300'!$D$153:$M$153</definedName>
    <definedName name="OSRRefD21_5_1x" localSheetId="49">'300 &amp; 317'!$D$177:$M$177</definedName>
    <definedName name="OSRRefD21_5_1x" localSheetId="50">'301'!$D$50:$M$50</definedName>
    <definedName name="OSRRefD21_5_1x" localSheetId="53">'307'!$D$65:$M$65</definedName>
    <definedName name="OSRRefD21_5_1x" localSheetId="64">'310'!$D$57:$M$57</definedName>
    <definedName name="OSRRefD21_5_1x" localSheetId="72">'310 &amp; 491'!$D$63:$M$63</definedName>
    <definedName name="OSRRefD21_5_1x" localSheetId="58">'315'!$D$108:$M$108</definedName>
    <definedName name="OSRRefD21_5_1x" localSheetId="69">'325'!$D$48:$M$48</definedName>
    <definedName name="OSRRefD21_5_1x" localSheetId="52">'330'!$D$69:$M$69</definedName>
    <definedName name="OSRRefD21_5_1x" localSheetId="57">'331'!$D$109:$M$109</definedName>
    <definedName name="OSRRefD21_5_1x" localSheetId="80">'415'!$D$54:$M$54</definedName>
    <definedName name="OSRRefD21_5_1x" localSheetId="88">'430'!$D$49:$M$49</definedName>
    <definedName name="OSRRefD21_5_1x" localSheetId="73">'491'!$D$57:$M$57</definedName>
    <definedName name="OSRRefD21_5_1x" localSheetId="94">'501'!$D$50:$M$50</definedName>
    <definedName name="OSRRefD21_5_1x" localSheetId="47">'Div 3'!$D$157:$M$157</definedName>
    <definedName name="OSRRefD21_5_1x" localSheetId="71">'Div 4'!$D$60:$M$60</definedName>
    <definedName name="OSRRefD21_5_1x" localSheetId="93">'Div 5'!$D$50:$M$50</definedName>
    <definedName name="OSRRefD21_5_1x" localSheetId="2">Summary!$D$187:$M$187</definedName>
    <definedName name="OSRRefD21_5_2x" localSheetId="44">'204'!$D$49:$M$49</definedName>
    <definedName name="OSRRefD21_5_2x" localSheetId="72">'310 &amp; 491'!$D$64:$M$64</definedName>
    <definedName name="OSRRefD21_5_2x" localSheetId="73">'491'!$D$58:$M$58</definedName>
    <definedName name="OSRRefD21_5_2x" localSheetId="71">'Div 4'!$D$61:$M$61</definedName>
    <definedName name="OSRRefD21_5_2x" localSheetId="2">Summary!$D$188:$M$188</definedName>
    <definedName name="OSRRefD21_5x_0" localSheetId="41">'201'!$D$46</definedName>
    <definedName name="OSRRefD21_5x_0" localSheetId="42">'202'!$D$47</definedName>
    <definedName name="OSRRefD21_5x_0" localSheetId="43">'203'!$D$47</definedName>
    <definedName name="OSRRefD21_5x_0" localSheetId="44">'204'!$D$47:$D$49</definedName>
    <definedName name="OSRRefD21_5x_0" localSheetId="45">'205'!$D$47</definedName>
    <definedName name="OSRRefD21_5x_0" localSheetId="46">'206'!$D$46</definedName>
    <definedName name="OSRRefD21_5x_0" localSheetId="48">'300'!$D$152:$D$153</definedName>
    <definedName name="OSRRefD21_5x_0" localSheetId="49">'300 &amp; 317'!$D$176:$D$177</definedName>
    <definedName name="OSRRefD21_5x_0" localSheetId="50">'301'!$D$49:$D$50</definedName>
    <definedName name="OSRRefD21_5x_0" localSheetId="51">'306'!$D$46</definedName>
    <definedName name="OSRRefD21_5x_0" localSheetId="53">'307'!$D$64:$D$65</definedName>
    <definedName name="OSRRefD21_5x_0" localSheetId="54">'308'!$D$87</definedName>
    <definedName name="OSRRefD21_5x_0" localSheetId="65">'309'!$D$47</definedName>
    <definedName name="OSRRefD21_5x_0" localSheetId="64">'310'!$D$56:$D$57</definedName>
    <definedName name="OSRRefD21_5x_0" localSheetId="72">'310 &amp; 491'!$D$62:$D$64</definedName>
    <definedName name="OSRRefD21_5x_0" localSheetId="55">'311'!$D$86</definedName>
    <definedName name="OSRRefD21_5x_0" localSheetId="66">'313'!$D$51</definedName>
    <definedName name="OSRRefD21_5x_0" localSheetId="58">'315'!$D$107:$D$108</definedName>
    <definedName name="OSRRefD21_5x_0" localSheetId="61">'316'!$D$58</definedName>
    <definedName name="OSRRefD21_5x_0" localSheetId="63">'317'!$D$80</definedName>
    <definedName name="OSRRefD21_5x_0" localSheetId="67">'321'!$D$50</definedName>
    <definedName name="OSRRefD21_5x_0" localSheetId="68">'322'!$D$48</definedName>
    <definedName name="OSRRefD21_5x_0" localSheetId="69">'325'!$D$47:$D$48</definedName>
    <definedName name="OSRRefD21_5x_0" localSheetId="59">'326'!$D$74</definedName>
    <definedName name="OSRRefD21_5x_0" localSheetId="52">'330'!$D$68:$D$69</definedName>
    <definedName name="OSRRefD21_5x_0" localSheetId="57">'331'!$D$108:$D$109</definedName>
    <definedName name="OSRRefD21_5x_0" localSheetId="60">'332'!$D$60</definedName>
    <definedName name="OSRRefD21_5x_0" localSheetId="74">'405'!$D$50</definedName>
    <definedName name="OSRRefD21_5x_0" localSheetId="76">'411'!$D$47</definedName>
    <definedName name="OSRRefD21_5x_0" localSheetId="77">'412'!$D$48</definedName>
    <definedName name="OSRRefD21_5x_0" localSheetId="78">'413'!$D$49</definedName>
    <definedName name="OSRRefD21_5x_0" localSheetId="79">'414'!$D$51</definedName>
    <definedName name="OSRRefD21_5x_0" localSheetId="80">'415'!$D$53:$D$54</definedName>
    <definedName name="OSRRefD21_5x_0" localSheetId="81">'418'!$D$50</definedName>
    <definedName name="OSRRefD21_5x_0" localSheetId="83">'423'!$D$46</definedName>
    <definedName name="OSRRefD21_5x_0" localSheetId="85">'425'!$D$35</definedName>
    <definedName name="OSRRefD21_5x_0" localSheetId="88">'430'!$D$48:$D$49</definedName>
    <definedName name="OSRRefD21_5x_0" localSheetId="89">'433'!$D$54</definedName>
    <definedName name="OSRRefD21_5x_0" localSheetId="91">'444'!$D$54</definedName>
    <definedName name="OSRRefD21_5x_0" localSheetId="92">'450'!$D$50</definedName>
    <definedName name="OSRRefD21_5x_0" localSheetId="73">'491'!$D$56:$D$58</definedName>
    <definedName name="OSRRefD21_5x_0" localSheetId="87">'492'!$D$54</definedName>
    <definedName name="OSRRefD21_5x_0" localSheetId="94">'501'!$D$49:$D$50</definedName>
    <definedName name="OSRRefD21_5x_0" localSheetId="39">'Div 2'!$D$48</definedName>
    <definedName name="OSRRefD21_5x_0" localSheetId="47">'Div 3'!$D$156:$D$157</definedName>
    <definedName name="OSRRefD21_5x_0" localSheetId="71">'Div 4'!$D$59:$D$61</definedName>
    <definedName name="OSRRefD21_5x_0" localSheetId="93">'Div 5'!$D$49:$D$50</definedName>
    <definedName name="OSRRefD21_5x_0" localSheetId="62">'Div 6'!$D$80</definedName>
    <definedName name="OSRRefD21_5x_0" localSheetId="2">Summary!$D$186:$D$188</definedName>
    <definedName name="OSRRefD21_5x_1" localSheetId="41">'201'!$E$46</definedName>
    <definedName name="OSRRefD21_5x_1" localSheetId="42">'202'!$E$47</definedName>
    <definedName name="OSRRefD21_5x_1" localSheetId="43">'203'!$E$47</definedName>
    <definedName name="OSRRefD21_5x_1" localSheetId="44">'204'!$E$47:$E$49</definedName>
    <definedName name="OSRRefD21_5x_1" localSheetId="45">'205'!$E$47</definedName>
    <definedName name="OSRRefD21_5x_1" localSheetId="46">'206'!$E$46</definedName>
    <definedName name="OSRRefD21_5x_1" localSheetId="48">'300'!$E$152:$E$153</definedName>
    <definedName name="OSRRefD21_5x_1" localSheetId="49">'300 &amp; 317'!$E$176:$E$177</definedName>
    <definedName name="OSRRefD21_5x_1" localSheetId="50">'301'!$E$49:$E$50</definedName>
    <definedName name="OSRRefD21_5x_1" localSheetId="51">'306'!$E$46</definedName>
    <definedName name="OSRRefD21_5x_1" localSheetId="53">'307'!$E$64:$E$65</definedName>
    <definedName name="OSRRefD21_5x_1" localSheetId="54">'308'!$E$87</definedName>
    <definedName name="OSRRefD21_5x_1" localSheetId="65">'309'!$E$47</definedName>
    <definedName name="OSRRefD21_5x_1" localSheetId="64">'310'!$E$56:$E$57</definedName>
    <definedName name="OSRRefD21_5x_1" localSheetId="72">'310 &amp; 491'!$E$62:$E$64</definedName>
    <definedName name="OSRRefD21_5x_1" localSheetId="55">'311'!$E$86</definedName>
    <definedName name="OSRRefD21_5x_1" localSheetId="66">'313'!$E$51</definedName>
    <definedName name="OSRRefD21_5x_1" localSheetId="58">'315'!$E$107:$E$108</definedName>
    <definedName name="OSRRefD21_5x_1" localSheetId="61">'316'!$E$58</definedName>
    <definedName name="OSRRefD21_5x_1" localSheetId="63">'317'!$E$80</definedName>
    <definedName name="OSRRefD21_5x_1" localSheetId="67">'321'!$E$50</definedName>
    <definedName name="OSRRefD21_5x_1" localSheetId="68">'322'!$E$48</definedName>
    <definedName name="OSRRefD21_5x_1" localSheetId="69">'325'!$E$47:$E$48</definedName>
    <definedName name="OSRRefD21_5x_1" localSheetId="59">'326'!$E$74</definedName>
    <definedName name="OSRRefD21_5x_1" localSheetId="52">'330'!$E$68:$E$69</definedName>
    <definedName name="OSRRefD21_5x_1" localSheetId="57">'331'!$E$108:$E$109</definedName>
    <definedName name="OSRRefD21_5x_1" localSheetId="60">'332'!$E$60</definedName>
    <definedName name="OSRRefD21_5x_1" localSheetId="74">'405'!$E$50</definedName>
    <definedName name="OSRRefD21_5x_1" localSheetId="76">'411'!$E$47</definedName>
    <definedName name="OSRRefD21_5x_1" localSheetId="77">'412'!$E$48</definedName>
    <definedName name="OSRRefD21_5x_1" localSheetId="78">'413'!$E$49</definedName>
    <definedName name="OSRRefD21_5x_1" localSheetId="79">'414'!$E$51</definedName>
    <definedName name="OSRRefD21_5x_1" localSheetId="80">'415'!$E$53:$E$54</definedName>
    <definedName name="OSRRefD21_5x_1" localSheetId="81">'418'!$E$50</definedName>
    <definedName name="OSRRefD21_5x_1" localSheetId="83">'423'!$E$46</definedName>
    <definedName name="OSRRefD21_5x_1" localSheetId="85">'425'!$E$35</definedName>
    <definedName name="OSRRefD21_5x_1" localSheetId="88">'430'!$E$48:$E$49</definedName>
    <definedName name="OSRRefD21_5x_1" localSheetId="89">'433'!$E$54</definedName>
    <definedName name="OSRRefD21_5x_1" localSheetId="91">'444'!$E$54</definedName>
    <definedName name="OSRRefD21_5x_1" localSheetId="92">'450'!$E$50</definedName>
    <definedName name="OSRRefD21_5x_1" localSheetId="73">'491'!$E$56:$E$58</definedName>
    <definedName name="OSRRefD21_5x_1" localSheetId="87">'492'!$E$54</definedName>
    <definedName name="OSRRefD21_5x_1" localSheetId="94">'501'!$E$49:$E$50</definedName>
    <definedName name="OSRRefD21_5x_1" localSheetId="39">'Div 2'!$E$48</definedName>
    <definedName name="OSRRefD21_5x_1" localSheetId="47">'Div 3'!$E$156:$E$157</definedName>
    <definedName name="OSRRefD21_5x_1" localSheetId="71">'Div 4'!$E$59:$E$61</definedName>
    <definedName name="OSRRefD21_5x_1" localSheetId="93">'Div 5'!$E$49:$E$50</definedName>
    <definedName name="OSRRefD21_5x_1" localSheetId="62">'Div 6'!$E$80</definedName>
    <definedName name="OSRRefD21_5x_1" localSheetId="2">Summary!$E$186:$E$188</definedName>
    <definedName name="OSRRefD21_5x_2" localSheetId="41">'201'!$F$46</definedName>
    <definedName name="OSRRefD21_5x_2" localSheetId="42">'202'!$F$47</definedName>
    <definedName name="OSRRefD21_5x_2" localSheetId="43">'203'!$F$47</definedName>
    <definedName name="OSRRefD21_5x_2" localSheetId="44">'204'!$F$47:$F$49</definedName>
    <definedName name="OSRRefD21_5x_2" localSheetId="45">'205'!$F$47</definedName>
    <definedName name="OSRRefD21_5x_2" localSheetId="46">'206'!$F$46</definedName>
    <definedName name="OSRRefD21_5x_2" localSheetId="48">'300'!$F$152:$F$153</definedName>
    <definedName name="OSRRefD21_5x_2" localSheetId="49">'300 &amp; 317'!$F$176:$F$177</definedName>
    <definedName name="OSRRefD21_5x_2" localSheetId="50">'301'!$F$49:$F$50</definedName>
    <definedName name="OSRRefD21_5x_2" localSheetId="51">'306'!$F$46</definedName>
    <definedName name="OSRRefD21_5x_2" localSheetId="53">'307'!$F$64:$F$65</definedName>
    <definedName name="OSRRefD21_5x_2" localSheetId="54">'308'!$F$87</definedName>
    <definedName name="OSRRefD21_5x_2" localSheetId="65">'309'!$F$47</definedName>
    <definedName name="OSRRefD21_5x_2" localSheetId="64">'310'!$F$56:$F$57</definedName>
    <definedName name="OSRRefD21_5x_2" localSheetId="72">'310 &amp; 491'!$F$62:$F$64</definedName>
    <definedName name="OSRRefD21_5x_2" localSheetId="55">'311'!$F$86</definedName>
    <definedName name="OSRRefD21_5x_2" localSheetId="66">'313'!$F$51</definedName>
    <definedName name="OSRRefD21_5x_2" localSheetId="58">'315'!$F$107:$F$108</definedName>
    <definedName name="OSRRefD21_5x_2" localSheetId="61">'316'!$F$58</definedName>
    <definedName name="OSRRefD21_5x_2" localSheetId="63">'317'!$F$80</definedName>
    <definedName name="OSRRefD21_5x_2" localSheetId="67">'321'!$F$50</definedName>
    <definedName name="OSRRefD21_5x_2" localSheetId="68">'322'!$F$48</definedName>
    <definedName name="OSRRefD21_5x_2" localSheetId="69">'325'!$F$47:$F$48</definedName>
    <definedName name="OSRRefD21_5x_2" localSheetId="59">'326'!$F$74</definedName>
    <definedName name="OSRRefD21_5x_2" localSheetId="52">'330'!$F$68:$F$69</definedName>
    <definedName name="OSRRefD21_5x_2" localSheetId="57">'331'!$F$108:$F$109</definedName>
    <definedName name="OSRRefD21_5x_2" localSheetId="60">'332'!$F$60</definedName>
    <definedName name="OSRRefD21_5x_2" localSheetId="74">'405'!$F$50</definedName>
    <definedName name="OSRRefD21_5x_2" localSheetId="76">'411'!$F$47</definedName>
    <definedName name="OSRRefD21_5x_2" localSheetId="77">'412'!$F$48</definedName>
    <definedName name="OSRRefD21_5x_2" localSheetId="78">'413'!$F$49</definedName>
    <definedName name="OSRRefD21_5x_2" localSheetId="79">'414'!$F$51</definedName>
    <definedName name="OSRRefD21_5x_2" localSheetId="80">'415'!$F$53:$F$54</definedName>
    <definedName name="OSRRefD21_5x_2" localSheetId="81">'418'!$F$50</definedName>
    <definedName name="OSRRefD21_5x_2" localSheetId="83">'423'!$F$46</definedName>
    <definedName name="OSRRefD21_5x_2" localSheetId="85">'425'!$F$35</definedName>
    <definedName name="OSRRefD21_5x_2" localSheetId="88">'430'!$F$48:$F$49</definedName>
    <definedName name="OSRRefD21_5x_2" localSheetId="89">'433'!$F$54</definedName>
    <definedName name="OSRRefD21_5x_2" localSheetId="91">'444'!$F$54</definedName>
    <definedName name="OSRRefD21_5x_2" localSheetId="92">'450'!$F$50</definedName>
    <definedName name="OSRRefD21_5x_2" localSheetId="73">'491'!$F$56:$F$58</definedName>
    <definedName name="OSRRefD21_5x_2" localSheetId="87">'492'!$F$54</definedName>
    <definedName name="OSRRefD21_5x_2" localSheetId="94">'501'!$F$49:$F$50</definedName>
    <definedName name="OSRRefD21_5x_2" localSheetId="39">'Div 2'!$F$48</definedName>
    <definedName name="OSRRefD21_5x_2" localSheetId="47">'Div 3'!$F$156:$F$157</definedName>
    <definedName name="OSRRefD21_5x_2" localSheetId="71">'Div 4'!$F$59:$F$61</definedName>
    <definedName name="OSRRefD21_5x_2" localSheetId="93">'Div 5'!$F$49:$F$50</definedName>
    <definedName name="OSRRefD21_5x_2" localSheetId="62">'Div 6'!$F$80</definedName>
    <definedName name="OSRRefD21_5x_2" localSheetId="2">Summary!$F$186:$F$188</definedName>
    <definedName name="OSRRefD21_5x_3" localSheetId="41">'201'!$G$46</definedName>
    <definedName name="OSRRefD21_5x_3" localSheetId="42">'202'!$G$47</definedName>
    <definedName name="OSRRefD21_5x_3" localSheetId="43">'203'!$G$47</definedName>
    <definedName name="OSRRefD21_5x_3" localSheetId="44">'204'!$G$47:$G$49</definedName>
    <definedName name="OSRRefD21_5x_3" localSheetId="45">'205'!$G$47</definedName>
    <definedName name="OSRRefD21_5x_3" localSheetId="46">'206'!$G$46</definedName>
    <definedName name="OSRRefD21_5x_3" localSheetId="48">'300'!$G$152:$G$153</definedName>
    <definedName name="OSRRefD21_5x_3" localSheetId="49">'300 &amp; 317'!$G$176:$G$177</definedName>
    <definedName name="OSRRefD21_5x_3" localSheetId="50">'301'!$G$49:$G$50</definedName>
    <definedName name="OSRRefD21_5x_3" localSheetId="51">'306'!$G$46</definedName>
    <definedName name="OSRRefD21_5x_3" localSheetId="53">'307'!$G$64:$G$65</definedName>
    <definedName name="OSRRefD21_5x_3" localSheetId="54">'308'!$G$87</definedName>
    <definedName name="OSRRefD21_5x_3" localSheetId="65">'309'!$G$47</definedName>
    <definedName name="OSRRefD21_5x_3" localSheetId="64">'310'!$G$56:$G$57</definedName>
    <definedName name="OSRRefD21_5x_3" localSheetId="72">'310 &amp; 491'!$G$62:$G$64</definedName>
    <definedName name="OSRRefD21_5x_3" localSheetId="55">'311'!$G$86</definedName>
    <definedName name="OSRRefD21_5x_3" localSheetId="66">'313'!$G$51</definedName>
    <definedName name="OSRRefD21_5x_3" localSheetId="58">'315'!$G$107:$G$108</definedName>
    <definedName name="OSRRefD21_5x_3" localSheetId="61">'316'!$G$58</definedName>
    <definedName name="OSRRefD21_5x_3" localSheetId="63">'317'!$G$80</definedName>
    <definedName name="OSRRefD21_5x_3" localSheetId="67">'321'!$G$50</definedName>
    <definedName name="OSRRefD21_5x_3" localSheetId="68">'322'!$G$48</definedName>
    <definedName name="OSRRefD21_5x_3" localSheetId="69">'325'!$G$47:$G$48</definedName>
    <definedName name="OSRRefD21_5x_3" localSheetId="59">'326'!$G$74</definedName>
    <definedName name="OSRRefD21_5x_3" localSheetId="52">'330'!$G$68:$G$69</definedName>
    <definedName name="OSRRefD21_5x_3" localSheetId="57">'331'!$G$108:$G$109</definedName>
    <definedName name="OSRRefD21_5x_3" localSheetId="60">'332'!$G$60</definedName>
    <definedName name="OSRRefD21_5x_3" localSheetId="74">'405'!$G$50</definedName>
    <definedName name="OSRRefD21_5x_3" localSheetId="76">'411'!$G$47</definedName>
    <definedName name="OSRRefD21_5x_3" localSheetId="77">'412'!$G$48</definedName>
    <definedName name="OSRRefD21_5x_3" localSheetId="78">'413'!$G$49</definedName>
    <definedName name="OSRRefD21_5x_3" localSheetId="79">'414'!$G$51</definedName>
    <definedName name="OSRRefD21_5x_3" localSheetId="80">'415'!$G$53:$G$54</definedName>
    <definedName name="OSRRefD21_5x_3" localSheetId="81">'418'!$G$50</definedName>
    <definedName name="OSRRefD21_5x_3" localSheetId="83">'423'!$G$46</definedName>
    <definedName name="OSRRefD21_5x_3" localSheetId="85">'425'!$G$35</definedName>
    <definedName name="OSRRefD21_5x_3" localSheetId="88">'430'!$G$48:$G$49</definedName>
    <definedName name="OSRRefD21_5x_3" localSheetId="89">'433'!$G$54</definedName>
    <definedName name="OSRRefD21_5x_3" localSheetId="91">'444'!$G$54</definedName>
    <definedName name="OSRRefD21_5x_3" localSheetId="92">'450'!$G$50</definedName>
    <definedName name="OSRRefD21_5x_3" localSheetId="73">'491'!$G$56:$G$58</definedName>
    <definedName name="OSRRefD21_5x_3" localSheetId="87">'492'!$G$54</definedName>
    <definedName name="OSRRefD21_5x_3" localSheetId="94">'501'!$G$49:$G$50</definedName>
    <definedName name="OSRRefD21_5x_3" localSheetId="39">'Div 2'!$G$48</definedName>
    <definedName name="OSRRefD21_5x_3" localSheetId="47">'Div 3'!$G$156:$G$157</definedName>
    <definedName name="OSRRefD21_5x_3" localSheetId="71">'Div 4'!$G$59:$G$61</definedName>
    <definedName name="OSRRefD21_5x_3" localSheetId="93">'Div 5'!$G$49:$G$50</definedName>
    <definedName name="OSRRefD21_5x_3" localSheetId="62">'Div 6'!$G$80</definedName>
    <definedName name="OSRRefD21_5x_3" localSheetId="2">Summary!$G$186:$G$188</definedName>
    <definedName name="OSRRefD21_5x_4" localSheetId="41">'201'!$H$46</definedName>
    <definedName name="OSRRefD21_5x_4" localSheetId="42">'202'!$H$47</definedName>
    <definedName name="OSRRefD21_5x_4" localSheetId="43">'203'!$H$47</definedName>
    <definedName name="OSRRefD21_5x_4" localSheetId="44">'204'!$H$47:$H$49</definedName>
    <definedName name="OSRRefD21_5x_4" localSheetId="45">'205'!$H$47</definedName>
    <definedName name="OSRRefD21_5x_4" localSheetId="46">'206'!$H$46</definedName>
    <definedName name="OSRRefD21_5x_4" localSheetId="48">'300'!$H$152:$H$153</definedName>
    <definedName name="OSRRefD21_5x_4" localSheetId="49">'300 &amp; 317'!$H$176:$H$177</definedName>
    <definedName name="OSRRefD21_5x_4" localSheetId="50">'301'!$H$49:$H$50</definedName>
    <definedName name="OSRRefD21_5x_4" localSheetId="51">'306'!$H$46</definedName>
    <definedName name="OSRRefD21_5x_4" localSheetId="53">'307'!$H$64:$H$65</definedName>
    <definedName name="OSRRefD21_5x_4" localSheetId="54">'308'!$H$87</definedName>
    <definedName name="OSRRefD21_5x_4" localSheetId="65">'309'!$H$47</definedName>
    <definedName name="OSRRefD21_5x_4" localSheetId="64">'310'!$H$56:$H$57</definedName>
    <definedName name="OSRRefD21_5x_4" localSheetId="72">'310 &amp; 491'!$H$62:$H$64</definedName>
    <definedName name="OSRRefD21_5x_4" localSheetId="55">'311'!$H$86</definedName>
    <definedName name="OSRRefD21_5x_4" localSheetId="66">'313'!$H$51</definedName>
    <definedName name="OSRRefD21_5x_4" localSheetId="58">'315'!$H$107:$H$108</definedName>
    <definedName name="OSRRefD21_5x_4" localSheetId="61">'316'!$H$58</definedName>
    <definedName name="OSRRefD21_5x_4" localSheetId="63">'317'!$H$80</definedName>
    <definedName name="OSRRefD21_5x_4" localSheetId="67">'321'!$H$50</definedName>
    <definedName name="OSRRefD21_5x_4" localSheetId="68">'322'!$H$48</definedName>
    <definedName name="OSRRefD21_5x_4" localSheetId="69">'325'!$H$47:$H$48</definedName>
    <definedName name="OSRRefD21_5x_4" localSheetId="59">'326'!$H$74</definedName>
    <definedName name="OSRRefD21_5x_4" localSheetId="52">'330'!$H$68:$H$69</definedName>
    <definedName name="OSRRefD21_5x_4" localSheetId="57">'331'!$H$108:$H$109</definedName>
    <definedName name="OSRRefD21_5x_4" localSheetId="60">'332'!$H$60</definedName>
    <definedName name="OSRRefD21_5x_4" localSheetId="74">'405'!$H$50</definedName>
    <definedName name="OSRRefD21_5x_4" localSheetId="76">'411'!$H$47</definedName>
    <definedName name="OSRRefD21_5x_4" localSheetId="77">'412'!$H$48</definedName>
    <definedName name="OSRRefD21_5x_4" localSheetId="78">'413'!$H$49</definedName>
    <definedName name="OSRRefD21_5x_4" localSheetId="79">'414'!$H$51</definedName>
    <definedName name="OSRRefD21_5x_4" localSheetId="80">'415'!$H$53:$H$54</definedName>
    <definedName name="OSRRefD21_5x_4" localSheetId="81">'418'!$H$50</definedName>
    <definedName name="OSRRefD21_5x_4" localSheetId="83">'423'!$H$46</definedName>
    <definedName name="OSRRefD21_5x_4" localSheetId="85">'425'!$H$35</definedName>
    <definedName name="OSRRefD21_5x_4" localSheetId="88">'430'!$H$48:$H$49</definedName>
    <definedName name="OSRRefD21_5x_4" localSheetId="89">'433'!$H$54</definedName>
    <definedName name="OSRRefD21_5x_4" localSheetId="91">'444'!$H$54</definedName>
    <definedName name="OSRRefD21_5x_4" localSheetId="92">'450'!$H$50</definedName>
    <definedName name="OSRRefD21_5x_4" localSheetId="73">'491'!$H$56:$H$58</definedName>
    <definedName name="OSRRefD21_5x_4" localSheetId="87">'492'!$H$54</definedName>
    <definedName name="OSRRefD21_5x_4" localSheetId="94">'501'!$H$49:$H$50</definedName>
    <definedName name="OSRRefD21_5x_4" localSheetId="39">'Div 2'!$H$48</definedName>
    <definedName name="OSRRefD21_5x_4" localSheetId="47">'Div 3'!$H$156:$H$157</definedName>
    <definedName name="OSRRefD21_5x_4" localSheetId="71">'Div 4'!$H$59:$H$61</definedName>
    <definedName name="OSRRefD21_5x_4" localSheetId="93">'Div 5'!$H$49:$H$50</definedName>
    <definedName name="OSRRefD21_5x_4" localSheetId="62">'Div 6'!$H$80</definedName>
    <definedName name="OSRRefD21_5x_4" localSheetId="2">Summary!$H$186:$H$188</definedName>
    <definedName name="OSRRefD21_5x_5" localSheetId="41">'201'!$I$46</definedName>
    <definedName name="OSRRefD21_5x_5" localSheetId="42">'202'!$I$47</definedName>
    <definedName name="OSRRefD21_5x_5" localSheetId="43">'203'!$I$47</definedName>
    <definedName name="OSRRefD21_5x_5" localSheetId="44">'204'!$I$47:$I$49</definedName>
    <definedName name="OSRRefD21_5x_5" localSheetId="45">'205'!$I$47</definedName>
    <definedName name="OSRRefD21_5x_5" localSheetId="46">'206'!$I$46</definedName>
    <definedName name="OSRRefD21_5x_5" localSheetId="48">'300'!$I$152:$I$153</definedName>
    <definedName name="OSRRefD21_5x_5" localSheetId="49">'300 &amp; 317'!$I$176:$I$177</definedName>
    <definedName name="OSRRefD21_5x_5" localSheetId="50">'301'!$I$49:$I$50</definedName>
    <definedName name="OSRRefD21_5x_5" localSheetId="51">'306'!$I$46</definedName>
    <definedName name="OSRRefD21_5x_5" localSheetId="53">'307'!$I$64:$I$65</definedName>
    <definedName name="OSRRefD21_5x_5" localSheetId="54">'308'!$I$87</definedName>
    <definedName name="OSRRefD21_5x_5" localSheetId="65">'309'!$I$47</definedName>
    <definedName name="OSRRefD21_5x_5" localSheetId="64">'310'!$I$56:$I$57</definedName>
    <definedName name="OSRRefD21_5x_5" localSheetId="72">'310 &amp; 491'!$I$62:$I$64</definedName>
    <definedName name="OSRRefD21_5x_5" localSheetId="55">'311'!$I$86</definedName>
    <definedName name="OSRRefD21_5x_5" localSheetId="66">'313'!$I$51</definedName>
    <definedName name="OSRRefD21_5x_5" localSheetId="58">'315'!$I$107:$I$108</definedName>
    <definedName name="OSRRefD21_5x_5" localSheetId="61">'316'!$I$58</definedName>
    <definedName name="OSRRefD21_5x_5" localSheetId="63">'317'!$I$80</definedName>
    <definedName name="OSRRefD21_5x_5" localSheetId="67">'321'!$I$50</definedName>
    <definedName name="OSRRefD21_5x_5" localSheetId="68">'322'!$I$48</definedName>
    <definedName name="OSRRefD21_5x_5" localSheetId="69">'325'!$I$47:$I$48</definedName>
    <definedName name="OSRRefD21_5x_5" localSheetId="59">'326'!$I$74</definedName>
    <definedName name="OSRRefD21_5x_5" localSheetId="52">'330'!$I$68:$I$69</definedName>
    <definedName name="OSRRefD21_5x_5" localSheetId="57">'331'!$I$108:$I$109</definedName>
    <definedName name="OSRRefD21_5x_5" localSheetId="60">'332'!$I$60</definedName>
    <definedName name="OSRRefD21_5x_5" localSheetId="74">'405'!$I$50</definedName>
    <definedName name="OSRRefD21_5x_5" localSheetId="76">'411'!$I$47</definedName>
    <definedName name="OSRRefD21_5x_5" localSheetId="77">'412'!$I$48</definedName>
    <definedName name="OSRRefD21_5x_5" localSheetId="78">'413'!$I$49</definedName>
    <definedName name="OSRRefD21_5x_5" localSheetId="79">'414'!$I$51</definedName>
    <definedName name="OSRRefD21_5x_5" localSheetId="80">'415'!$I$53:$I$54</definedName>
    <definedName name="OSRRefD21_5x_5" localSheetId="81">'418'!$I$50</definedName>
    <definedName name="OSRRefD21_5x_5" localSheetId="83">'423'!$I$46</definedName>
    <definedName name="OSRRefD21_5x_5" localSheetId="85">'425'!$I$35</definedName>
    <definedName name="OSRRefD21_5x_5" localSheetId="88">'430'!$I$48:$I$49</definedName>
    <definedName name="OSRRefD21_5x_5" localSheetId="89">'433'!$I$54</definedName>
    <definedName name="OSRRefD21_5x_5" localSheetId="91">'444'!$I$54</definedName>
    <definedName name="OSRRefD21_5x_5" localSheetId="92">'450'!$I$50</definedName>
    <definedName name="OSRRefD21_5x_5" localSheetId="73">'491'!$I$56:$I$58</definedName>
    <definedName name="OSRRefD21_5x_5" localSheetId="87">'492'!$I$54</definedName>
    <definedName name="OSRRefD21_5x_5" localSheetId="94">'501'!$I$49:$I$50</definedName>
    <definedName name="OSRRefD21_5x_5" localSheetId="39">'Div 2'!$I$48</definedName>
    <definedName name="OSRRefD21_5x_5" localSheetId="47">'Div 3'!$I$156:$I$157</definedName>
    <definedName name="OSRRefD21_5x_5" localSheetId="71">'Div 4'!$I$59:$I$61</definedName>
    <definedName name="OSRRefD21_5x_5" localSheetId="93">'Div 5'!$I$49:$I$50</definedName>
    <definedName name="OSRRefD21_5x_5" localSheetId="62">'Div 6'!$I$80</definedName>
    <definedName name="OSRRefD21_5x_5" localSheetId="2">Summary!$I$186:$I$188</definedName>
    <definedName name="OSRRefD21_5x_6" localSheetId="41">'201'!$J$46</definedName>
    <definedName name="OSRRefD21_5x_6" localSheetId="42">'202'!$J$47</definedName>
    <definedName name="OSRRefD21_5x_6" localSheetId="43">'203'!$J$47</definedName>
    <definedName name="OSRRefD21_5x_6" localSheetId="44">'204'!$J$47:$J$49</definedName>
    <definedName name="OSRRefD21_5x_6" localSheetId="45">'205'!$J$47</definedName>
    <definedName name="OSRRefD21_5x_6" localSheetId="46">'206'!$J$46</definedName>
    <definedName name="OSRRefD21_5x_6" localSheetId="48">'300'!$J$152:$J$153</definedName>
    <definedName name="OSRRefD21_5x_6" localSheetId="49">'300 &amp; 317'!$J$176:$J$177</definedName>
    <definedName name="OSRRefD21_5x_6" localSheetId="50">'301'!$J$49:$J$50</definedName>
    <definedName name="OSRRefD21_5x_6" localSheetId="51">'306'!$J$46</definedName>
    <definedName name="OSRRefD21_5x_6" localSheetId="53">'307'!$J$64:$J$65</definedName>
    <definedName name="OSRRefD21_5x_6" localSheetId="54">'308'!$J$87</definedName>
    <definedName name="OSRRefD21_5x_6" localSheetId="65">'309'!$J$47</definedName>
    <definedName name="OSRRefD21_5x_6" localSheetId="64">'310'!$J$56:$J$57</definedName>
    <definedName name="OSRRefD21_5x_6" localSheetId="72">'310 &amp; 491'!$J$62:$J$64</definedName>
    <definedName name="OSRRefD21_5x_6" localSheetId="55">'311'!$J$86</definedName>
    <definedName name="OSRRefD21_5x_6" localSheetId="66">'313'!$J$51</definedName>
    <definedName name="OSRRefD21_5x_6" localSheetId="58">'315'!$J$107:$J$108</definedName>
    <definedName name="OSRRefD21_5x_6" localSheetId="61">'316'!$J$58</definedName>
    <definedName name="OSRRefD21_5x_6" localSheetId="63">'317'!$J$80</definedName>
    <definedName name="OSRRefD21_5x_6" localSheetId="67">'321'!$J$50</definedName>
    <definedName name="OSRRefD21_5x_6" localSheetId="68">'322'!$J$48</definedName>
    <definedName name="OSRRefD21_5x_6" localSheetId="69">'325'!$J$47:$J$48</definedName>
    <definedName name="OSRRefD21_5x_6" localSheetId="59">'326'!$J$74</definedName>
    <definedName name="OSRRefD21_5x_6" localSheetId="52">'330'!$J$68:$J$69</definedName>
    <definedName name="OSRRefD21_5x_6" localSheetId="57">'331'!$J$108:$J$109</definedName>
    <definedName name="OSRRefD21_5x_6" localSheetId="60">'332'!$J$60</definedName>
    <definedName name="OSRRefD21_5x_6" localSheetId="74">'405'!$J$50</definedName>
    <definedName name="OSRRefD21_5x_6" localSheetId="76">'411'!$J$47</definedName>
    <definedName name="OSRRefD21_5x_6" localSheetId="77">'412'!$J$48</definedName>
    <definedName name="OSRRefD21_5x_6" localSheetId="78">'413'!$J$49</definedName>
    <definedName name="OSRRefD21_5x_6" localSheetId="79">'414'!$J$51</definedName>
    <definedName name="OSRRefD21_5x_6" localSheetId="80">'415'!$J$53:$J$54</definedName>
    <definedName name="OSRRefD21_5x_6" localSheetId="81">'418'!$J$50</definedName>
    <definedName name="OSRRefD21_5x_6" localSheetId="83">'423'!$J$46</definedName>
    <definedName name="OSRRefD21_5x_6" localSheetId="85">'425'!$J$35</definedName>
    <definedName name="OSRRefD21_5x_6" localSheetId="88">'430'!$J$48:$J$49</definedName>
    <definedName name="OSRRefD21_5x_6" localSheetId="89">'433'!$J$54</definedName>
    <definedName name="OSRRefD21_5x_6" localSheetId="91">'444'!$J$54</definedName>
    <definedName name="OSRRefD21_5x_6" localSheetId="92">'450'!$J$50</definedName>
    <definedName name="OSRRefD21_5x_6" localSheetId="73">'491'!$J$56:$J$58</definedName>
    <definedName name="OSRRefD21_5x_6" localSheetId="87">'492'!$J$54</definedName>
    <definedName name="OSRRefD21_5x_6" localSheetId="94">'501'!$J$49:$J$50</definedName>
    <definedName name="OSRRefD21_5x_6" localSheetId="39">'Div 2'!$J$48</definedName>
    <definedName name="OSRRefD21_5x_6" localSheetId="47">'Div 3'!$J$156:$J$157</definedName>
    <definedName name="OSRRefD21_5x_6" localSheetId="71">'Div 4'!$J$59:$J$61</definedName>
    <definedName name="OSRRefD21_5x_6" localSheetId="93">'Div 5'!$J$49:$J$50</definedName>
    <definedName name="OSRRefD21_5x_6" localSheetId="62">'Div 6'!$J$80</definedName>
    <definedName name="OSRRefD21_5x_6" localSheetId="2">Summary!$J$186:$J$188</definedName>
    <definedName name="OSRRefD21_5x_7" localSheetId="41">'201'!$K$46</definedName>
    <definedName name="OSRRefD21_5x_7" localSheetId="42">'202'!$K$47</definedName>
    <definedName name="OSRRefD21_5x_7" localSheetId="43">'203'!$K$47</definedName>
    <definedName name="OSRRefD21_5x_7" localSheetId="44">'204'!$K$47:$K$49</definedName>
    <definedName name="OSRRefD21_5x_7" localSheetId="45">'205'!$K$47</definedName>
    <definedName name="OSRRefD21_5x_7" localSheetId="46">'206'!$K$46</definedName>
    <definedName name="OSRRefD21_5x_7" localSheetId="48">'300'!$K$152:$K$153</definedName>
    <definedName name="OSRRefD21_5x_7" localSheetId="49">'300 &amp; 317'!$K$176:$K$177</definedName>
    <definedName name="OSRRefD21_5x_7" localSheetId="50">'301'!$K$49:$K$50</definedName>
    <definedName name="OSRRefD21_5x_7" localSheetId="51">'306'!$K$46</definedName>
    <definedName name="OSRRefD21_5x_7" localSheetId="53">'307'!$K$64:$K$65</definedName>
    <definedName name="OSRRefD21_5x_7" localSheetId="54">'308'!$K$87</definedName>
    <definedName name="OSRRefD21_5x_7" localSheetId="65">'309'!$K$47</definedName>
    <definedName name="OSRRefD21_5x_7" localSheetId="64">'310'!$K$56:$K$57</definedName>
    <definedName name="OSRRefD21_5x_7" localSheetId="72">'310 &amp; 491'!$K$62:$K$64</definedName>
    <definedName name="OSRRefD21_5x_7" localSheetId="55">'311'!$K$86</definedName>
    <definedName name="OSRRefD21_5x_7" localSheetId="66">'313'!$K$51</definedName>
    <definedName name="OSRRefD21_5x_7" localSheetId="58">'315'!$K$107:$K$108</definedName>
    <definedName name="OSRRefD21_5x_7" localSheetId="61">'316'!$K$58</definedName>
    <definedName name="OSRRefD21_5x_7" localSheetId="63">'317'!$K$80</definedName>
    <definedName name="OSRRefD21_5x_7" localSheetId="67">'321'!$K$50</definedName>
    <definedName name="OSRRefD21_5x_7" localSheetId="68">'322'!$K$48</definedName>
    <definedName name="OSRRefD21_5x_7" localSheetId="69">'325'!$K$47:$K$48</definedName>
    <definedName name="OSRRefD21_5x_7" localSheetId="59">'326'!$K$74</definedName>
    <definedName name="OSRRefD21_5x_7" localSheetId="52">'330'!$K$68:$K$69</definedName>
    <definedName name="OSRRefD21_5x_7" localSheetId="57">'331'!$K$108:$K$109</definedName>
    <definedName name="OSRRefD21_5x_7" localSheetId="60">'332'!$K$60</definedName>
    <definedName name="OSRRefD21_5x_7" localSheetId="74">'405'!$K$50</definedName>
    <definedName name="OSRRefD21_5x_7" localSheetId="76">'411'!$K$47</definedName>
    <definedName name="OSRRefD21_5x_7" localSheetId="77">'412'!$K$48</definedName>
    <definedName name="OSRRefD21_5x_7" localSheetId="78">'413'!$K$49</definedName>
    <definedName name="OSRRefD21_5x_7" localSheetId="79">'414'!$K$51</definedName>
    <definedName name="OSRRefD21_5x_7" localSheetId="80">'415'!$K$53:$K$54</definedName>
    <definedName name="OSRRefD21_5x_7" localSheetId="81">'418'!$K$50</definedName>
    <definedName name="OSRRefD21_5x_7" localSheetId="83">'423'!$K$46</definedName>
    <definedName name="OSRRefD21_5x_7" localSheetId="85">'425'!$K$35</definedName>
    <definedName name="OSRRefD21_5x_7" localSheetId="88">'430'!$K$48:$K$49</definedName>
    <definedName name="OSRRefD21_5x_7" localSheetId="89">'433'!$K$54</definedName>
    <definedName name="OSRRefD21_5x_7" localSheetId="91">'444'!$K$54</definedName>
    <definedName name="OSRRefD21_5x_7" localSheetId="92">'450'!$K$50</definedName>
    <definedName name="OSRRefD21_5x_7" localSheetId="73">'491'!$K$56:$K$58</definedName>
    <definedName name="OSRRefD21_5x_7" localSheetId="87">'492'!$K$54</definedName>
    <definedName name="OSRRefD21_5x_7" localSheetId="94">'501'!$K$49:$K$50</definedName>
    <definedName name="OSRRefD21_5x_7" localSheetId="39">'Div 2'!$K$48</definedName>
    <definedName name="OSRRefD21_5x_7" localSheetId="47">'Div 3'!$K$156:$K$157</definedName>
    <definedName name="OSRRefD21_5x_7" localSheetId="71">'Div 4'!$K$59:$K$61</definedName>
    <definedName name="OSRRefD21_5x_7" localSheetId="93">'Div 5'!$K$49:$K$50</definedName>
    <definedName name="OSRRefD21_5x_7" localSheetId="62">'Div 6'!$K$80</definedName>
    <definedName name="OSRRefD21_5x_7" localSheetId="2">Summary!$K$186:$K$188</definedName>
    <definedName name="OSRRefD21_5x_8" localSheetId="41">'201'!$L$46</definedName>
    <definedName name="OSRRefD21_5x_8" localSheetId="42">'202'!$L$47</definedName>
    <definedName name="OSRRefD21_5x_8" localSheetId="43">'203'!$L$47</definedName>
    <definedName name="OSRRefD21_5x_8" localSheetId="44">'204'!$L$47:$L$49</definedName>
    <definedName name="OSRRefD21_5x_8" localSheetId="45">'205'!$L$47</definedName>
    <definedName name="OSRRefD21_5x_8" localSheetId="46">'206'!$L$46</definedName>
    <definedName name="OSRRefD21_5x_8" localSheetId="48">'300'!$L$152:$L$153</definedName>
    <definedName name="OSRRefD21_5x_8" localSheetId="49">'300 &amp; 317'!$L$176:$L$177</definedName>
    <definedName name="OSRRefD21_5x_8" localSheetId="50">'301'!$L$49:$L$50</definedName>
    <definedName name="OSRRefD21_5x_8" localSheetId="51">'306'!$L$46</definedName>
    <definedName name="OSRRefD21_5x_8" localSheetId="53">'307'!$L$64:$L$65</definedName>
    <definedName name="OSRRefD21_5x_8" localSheetId="54">'308'!$L$87</definedName>
    <definedName name="OSRRefD21_5x_8" localSheetId="65">'309'!$L$47</definedName>
    <definedName name="OSRRefD21_5x_8" localSheetId="64">'310'!$L$56:$L$57</definedName>
    <definedName name="OSRRefD21_5x_8" localSheetId="72">'310 &amp; 491'!$L$62:$L$64</definedName>
    <definedName name="OSRRefD21_5x_8" localSheetId="55">'311'!$L$86</definedName>
    <definedName name="OSRRefD21_5x_8" localSheetId="66">'313'!$L$51</definedName>
    <definedName name="OSRRefD21_5x_8" localSheetId="58">'315'!$L$107:$L$108</definedName>
    <definedName name="OSRRefD21_5x_8" localSheetId="61">'316'!$L$58</definedName>
    <definedName name="OSRRefD21_5x_8" localSheetId="63">'317'!$L$80</definedName>
    <definedName name="OSRRefD21_5x_8" localSheetId="67">'321'!$L$50</definedName>
    <definedName name="OSRRefD21_5x_8" localSheetId="68">'322'!$L$48</definedName>
    <definedName name="OSRRefD21_5x_8" localSheetId="69">'325'!$L$47:$L$48</definedName>
    <definedName name="OSRRefD21_5x_8" localSheetId="59">'326'!$L$74</definedName>
    <definedName name="OSRRefD21_5x_8" localSheetId="52">'330'!$L$68:$L$69</definedName>
    <definedName name="OSRRefD21_5x_8" localSheetId="57">'331'!$L$108:$L$109</definedName>
    <definedName name="OSRRefD21_5x_8" localSheetId="60">'332'!$L$60</definedName>
    <definedName name="OSRRefD21_5x_8" localSheetId="74">'405'!$L$50</definedName>
    <definedName name="OSRRefD21_5x_8" localSheetId="76">'411'!$L$47</definedName>
    <definedName name="OSRRefD21_5x_8" localSheetId="77">'412'!$L$48</definedName>
    <definedName name="OSRRefD21_5x_8" localSheetId="78">'413'!$L$49</definedName>
    <definedName name="OSRRefD21_5x_8" localSheetId="79">'414'!$L$51</definedName>
    <definedName name="OSRRefD21_5x_8" localSheetId="80">'415'!$L$53:$L$54</definedName>
    <definedName name="OSRRefD21_5x_8" localSheetId="81">'418'!$L$50</definedName>
    <definedName name="OSRRefD21_5x_8" localSheetId="83">'423'!$L$46</definedName>
    <definedName name="OSRRefD21_5x_8" localSheetId="85">'425'!$L$35</definedName>
    <definedName name="OSRRefD21_5x_8" localSheetId="88">'430'!$L$48:$L$49</definedName>
    <definedName name="OSRRefD21_5x_8" localSheetId="89">'433'!$L$54</definedName>
    <definedName name="OSRRefD21_5x_8" localSheetId="91">'444'!$L$54</definedName>
    <definedName name="OSRRefD21_5x_8" localSheetId="92">'450'!$L$50</definedName>
    <definedName name="OSRRefD21_5x_8" localSheetId="73">'491'!$L$56:$L$58</definedName>
    <definedName name="OSRRefD21_5x_8" localSheetId="87">'492'!$L$54</definedName>
    <definedName name="OSRRefD21_5x_8" localSheetId="94">'501'!$L$49:$L$50</definedName>
    <definedName name="OSRRefD21_5x_8" localSheetId="39">'Div 2'!$L$48</definedName>
    <definedName name="OSRRefD21_5x_8" localSheetId="47">'Div 3'!$L$156:$L$157</definedName>
    <definedName name="OSRRefD21_5x_8" localSheetId="71">'Div 4'!$L$59:$L$61</definedName>
    <definedName name="OSRRefD21_5x_8" localSheetId="93">'Div 5'!$L$49:$L$50</definedName>
    <definedName name="OSRRefD21_5x_8" localSheetId="62">'Div 6'!$L$80</definedName>
    <definedName name="OSRRefD21_5x_8" localSheetId="2">Summary!$L$186:$L$188</definedName>
    <definedName name="OSRRefD21_5x_9" localSheetId="41">'201'!$M$46</definedName>
    <definedName name="OSRRefD21_5x_9" localSheetId="42">'202'!$M$47</definedName>
    <definedName name="OSRRefD21_5x_9" localSheetId="43">'203'!$M$47</definedName>
    <definedName name="OSRRefD21_5x_9" localSheetId="44">'204'!$M$47:$M$49</definedName>
    <definedName name="OSRRefD21_5x_9" localSheetId="45">'205'!$M$47</definedName>
    <definedName name="OSRRefD21_5x_9" localSheetId="46">'206'!$M$46</definedName>
    <definedName name="OSRRefD21_5x_9" localSheetId="48">'300'!$M$152:$M$153</definedName>
    <definedName name="OSRRefD21_5x_9" localSheetId="49">'300 &amp; 317'!$M$176:$M$177</definedName>
    <definedName name="OSRRefD21_5x_9" localSheetId="50">'301'!$M$49:$M$50</definedName>
    <definedName name="OSRRefD21_5x_9" localSheetId="51">'306'!$M$46</definedName>
    <definedName name="OSRRefD21_5x_9" localSheetId="53">'307'!$M$64:$M$65</definedName>
    <definedName name="OSRRefD21_5x_9" localSheetId="54">'308'!$M$87</definedName>
    <definedName name="OSRRefD21_5x_9" localSheetId="65">'309'!$M$47</definedName>
    <definedName name="OSRRefD21_5x_9" localSheetId="64">'310'!$M$56:$M$57</definedName>
    <definedName name="OSRRefD21_5x_9" localSheetId="72">'310 &amp; 491'!$M$62:$M$64</definedName>
    <definedName name="OSRRefD21_5x_9" localSheetId="55">'311'!$M$86</definedName>
    <definedName name="OSRRefD21_5x_9" localSheetId="66">'313'!$M$51</definedName>
    <definedName name="OSRRefD21_5x_9" localSheetId="58">'315'!$M$107:$M$108</definedName>
    <definedName name="OSRRefD21_5x_9" localSheetId="61">'316'!$M$58</definedName>
    <definedName name="OSRRefD21_5x_9" localSheetId="63">'317'!$M$80</definedName>
    <definedName name="OSRRefD21_5x_9" localSheetId="67">'321'!$M$50</definedName>
    <definedName name="OSRRefD21_5x_9" localSheetId="68">'322'!$M$48</definedName>
    <definedName name="OSRRefD21_5x_9" localSheetId="69">'325'!$M$47:$M$48</definedName>
    <definedName name="OSRRefD21_5x_9" localSheetId="59">'326'!$M$74</definedName>
    <definedName name="OSRRefD21_5x_9" localSheetId="52">'330'!$M$68:$M$69</definedName>
    <definedName name="OSRRefD21_5x_9" localSheetId="57">'331'!$M$108:$M$109</definedName>
    <definedName name="OSRRefD21_5x_9" localSheetId="60">'332'!$M$60</definedName>
    <definedName name="OSRRefD21_5x_9" localSheetId="74">'405'!$M$50</definedName>
    <definedName name="OSRRefD21_5x_9" localSheetId="76">'411'!$M$47</definedName>
    <definedName name="OSRRefD21_5x_9" localSheetId="77">'412'!$M$48</definedName>
    <definedName name="OSRRefD21_5x_9" localSheetId="78">'413'!$M$49</definedName>
    <definedName name="OSRRefD21_5x_9" localSheetId="79">'414'!$M$51</definedName>
    <definedName name="OSRRefD21_5x_9" localSheetId="80">'415'!$M$53:$M$54</definedName>
    <definedName name="OSRRefD21_5x_9" localSheetId="81">'418'!$M$50</definedName>
    <definedName name="OSRRefD21_5x_9" localSheetId="83">'423'!$M$46</definedName>
    <definedName name="OSRRefD21_5x_9" localSheetId="85">'425'!$M$35</definedName>
    <definedName name="OSRRefD21_5x_9" localSheetId="88">'430'!$M$48:$M$49</definedName>
    <definedName name="OSRRefD21_5x_9" localSheetId="89">'433'!$M$54</definedName>
    <definedName name="OSRRefD21_5x_9" localSheetId="91">'444'!$M$54</definedName>
    <definedName name="OSRRefD21_5x_9" localSheetId="92">'450'!$M$50</definedName>
    <definedName name="OSRRefD21_5x_9" localSheetId="73">'491'!$M$56:$M$58</definedName>
    <definedName name="OSRRefD21_5x_9" localSheetId="87">'492'!$M$54</definedName>
    <definedName name="OSRRefD21_5x_9" localSheetId="94">'501'!$M$49:$M$50</definedName>
    <definedName name="OSRRefD21_5x_9" localSheetId="39">'Div 2'!$M$48</definedName>
    <definedName name="OSRRefD21_5x_9" localSheetId="47">'Div 3'!$M$156:$M$157</definedName>
    <definedName name="OSRRefD21_5x_9" localSheetId="71">'Div 4'!$M$59:$M$61</definedName>
    <definedName name="OSRRefD21_5x_9" localSheetId="93">'Div 5'!$M$49:$M$50</definedName>
    <definedName name="OSRRefD21_5x_9" localSheetId="62">'Div 6'!$M$80</definedName>
    <definedName name="OSRRefD21_5x_9" localSheetId="2">Summary!$M$186:$M$188</definedName>
    <definedName name="OSRRefD21_6_0x" localSheetId="41">'201'!$D$48:$M$48</definedName>
    <definedName name="OSRRefD21_6_0x" localSheetId="42">'202'!$D$49:$M$49</definedName>
    <definedName name="OSRRefD21_6_0x" localSheetId="43">'203'!$D$49:$M$49</definedName>
    <definedName name="OSRRefD21_6_0x" localSheetId="44">'204'!$D$51:$M$51</definedName>
    <definedName name="OSRRefD21_6_0x" localSheetId="45">'205'!$D$49:$M$49</definedName>
    <definedName name="OSRRefD21_6_0x" localSheetId="46">'206'!$D$48:$M$48</definedName>
    <definedName name="OSRRefD21_6_0x" localSheetId="48">'300'!$D$155:$M$155</definedName>
    <definedName name="OSRRefD21_6_0x" localSheetId="49">'300 &amp; 317'!$D$179:$M$179</definedName>
    <definedName name="OSRRefD21_6_0x" localSheetId="50">'301'!$D$52:$M$52</definedName>
    <definedName name="OSRRefD21_6_0x" localSheetId="51">'306'!$D$48:$M$48</definedName>
    <definedName name="OSRRefD21_6_0x" localSheetId="53">'307'!$D$67:$M$67</definedName>
    <definedName name="OSRRefD21_6_0x" localSheetId="54">'308'!$D$89:$M$89</definedName>
    <definedName name="OSRRefD21_6_0x" localSheetId="65">'309'!$D$49:$M$49</definedName>
    <definedName name="OSRRefD21_6_0x" localSheetId="64">'310'!$D$59:$M$59</definedName>
    <definedName name="OSRRefD21_6_0x" localSheetId="72">'310 &amp; 491'!$D$66:$M$66</definedName>
    <definedName name="OSRRefD21_6_0x" localSheetId="55">'311'!$D$88:$M$88</definedName>
    <definedName name="OSRRefD21_6_0x" localSheetId="66">'313'!$D$53:$M$53</definedName>
    <definedName name="OSRRefD21_6_0x" localSheetId="58">'315'!$D$110:$M$110</definedName>
    <definedName name="OSRRefD21_6_0x" localSheetId="61">'316'!$D$60:$M$60</definedName>
    <definedName name="OSRRefD21_6_0x" localSheetId="63">'317'!$D$82:$M$82</definedName>
    <definedName name="OSRRefD21_6_0x" localSheetId="67">'321'!$D$52:$M$52</definedName>
    <definedName name="OSRRefD21_6_0x" localSheetId="68">'322'!$D$50:$M$50</definedName>
    <definedName name="OSRRefD21_6_0x" localSheetId="69">'325'!$D$50:$M$50</definedName>
    <definedName name="OSRRefD21_6_0x" localSheetId="59">'326'!$D$76:$M$76</definedName>
    <definedName name="OSRRefD21_6_0x" localSheetId="52">'330'!$D$71:$M$71</definedName>
    <definedName name="OSRRefD21_6_0x" localSheetId="57">'331'!$D$111:$M$111</definedName>
    <definedName name="OSRRefD21_6_0x" localSheetId="60">'332'!$D$62:$M$62</definedName>
    <definedName name="OSRRefD21_6_0x" localSheetId="74">'405'!$D$52:$M$52</definedName>
    <definedName name="OSRRefD21_6_0x" localSheetId="76">'411'!$D$49:$M$49</definedName>
    <definedName name="OSRRefD21_6_0x" localSheetId="77">'412'!$D$50:$M$50</definedName>
    <definedName name="OSRRefD21_6_0x" localSheetId="78">'413'!$D$51:$M$51</definedName>
    <definedName name="OSRRefD21_6_0x" localSheetId="79">'414'!$D$53:$M$53</definedName>
    <definedName name="OSRRefD21_6_0x" localSheetId="80">'415'!$D$56:$M$56</definedName>
    <definedName name="OSRRefD21_6_0x" localSheetId="81">'418'!$D$52:$M$52</definedName>
    <definedName name="OSRRefD21_6_0x" localSheetId="83">'423'!$D$48:$M$48</definedName>
    <definedName name="OSRRefD21_6_0x" localSheetId="88">'430'!$D$51:$M$51</definedName>
    <definedName name="OSRRefD21_6_0x" localSheetId="89">'433'!$D$56:$M$56</definedName>
    <definedName name="OSRRefD21_6_0x" localSheetId="91">'444'!$D$56:$M$56</definedName>
    <definedName name="OSRRefD21_6_0x" localSheetId="92">'450'!$D$52:$M$52</definedName>
    <definedName name="OSRRefD21_6_0x" localSheetId="73">'491'!$D$60:$M$60</definedName>
    <definedName name="OSRRefD21_6_0x" localSheetId="87">'492'!$D$56:$M$56</definedName>
    <definedName name="OSRRefD21_6_0x" localSheetId="94">'501'!$D$52:$M$52</definedName>
    <definedName name="OSRRefD21_6_0x" localSheetId="39">'Div 2'!$D$50:$M$50</definedName>
    <definedName name="OSRRefD21_6_0x" localSheetId="47">'Div 3'!$D$159:$M$159</definedName>
    <definedName name="OSRRefD21_6_0x" localSheetId="71">'Div 4'!$D$63:$M$63</definedName>
    <definedName name="OSRRefD21_6_0x" localSheetId="93">'Div 5'!$D$52:$M$52</definedName>
    <definedName name="OSRRefD21_6_0x" localSheetId="62">'Div 6'!$D$82:$M$82</definedName>
    <definedName name="OSRRefD21_6_0x" localSheetId="2">Summary!$D$190:$M$190</definedName>
    <definedName name="OSRRefD21_6_1x" localSheetId="45">'205'!$D$50:$M$50</definedName>
    <definedName name="OSRRefD21_6_1x" localSheetId="48">'300'!$D$156:$M$156</definedName>
    <definedName name="OSRRefD21_6_1x" localSheetId="49">'300 &amp; 317'!$D$180:$M$180</definedName>
    <definedName name="OSRRefD21_6_1x" localSheetId="53">'307'!$D$68:$M$68</definedName>
    <definedName name="OSRRefD21_6_1x" localSheetId="54">'308'!$D$90:$M$90</definedName>
    <definedName name="OSRRefD21_6_1x" localSheetId="55">'311'!$D$89:$M$89</definedName>
    <definedName name="OSRRefD21_6_1x" localSheetId="61">'316'!$D$61:$M$61</definedName>
    <definedName name="OSRRefD21_6_1x" localSheetId="63">'317'!$D$83:$M$83</definedName>
    <definedName name="OSRRefD21_6_1x" localSheetId="67">'321'!$D$53:$M$53</definedName>
    <definedName name="OSRRefD21_6_1x" localSheetId="68">'322'!$D$51:$M$51</definedName>
    <definedName name="OSRRefD21_6_1x" localSheetId="52">'330'!$D$72:$M$72</definedName>
    <definedName name="OSRRefD21_6_1x" localSheetId="60">'332'!$D$63:$M$63</definedName>
    <definedName name="OSRRefD21_6_1x" localSheetId="78">'413'!$D$52:$M$52</definedName>
    <definedName name="OSRRefD21_6_1x" localSheetId="47">'Div 3'!$D$160:$M$160</definedName>
    <definedName name="OSRRefD21_6_1x" localSheetId="62">'Div 6'!$D$83:$M$83</definedName>
    <definedName name="OSRRefD21_6_1x" localSheetId="2">Summary!$D$191:$M$191</definedName>
    <definedName name="OSRRefD21_6x_0" localSheetId="41">'201'!$D$48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'205'!$D$49:$D$50</definedName>
    <definedName name="OSRRefD21_6x_0" localSheetId="46">'206'!$D$48</definedName>
    <definedName name="OSRRefD21_6x_0" localSheetId="48">'300'!$D$155:$D$156</definedName>
    <definedName name="OSRRefD21_6x_0" localSheetId="49">'300 &amp; 317'!$D$179:$D$180</definedName>
    <definedName name="OSRRefD21_6x_0" localSheetId="50">'301'!$D$52</definedName>
    <definedName name="OSRRefD21_6x_0" localSheetId="51">'306'!$D$48</definedName>
    <definedName name="OSRRefD21_6x_0" localSheetId="53">'307'!$D$67:$D$68</definedName>
    <definedName name="OSRRefD21_6x_0" localSheetId="54">'308'!$D$89:$D$90</definedName>
    <definedName name="OSRRefD21_6x_0" localSheetId="65">'309'!$D$49</definedName>
    <definedName name="OSRRefD21_6x_0" localSheetId="64">'310'!$D$59</definedName>
    <definedName name="OSRRefD21_6x_0" localSheetId="72">'310 &amp; 491'!$D$66</definedName>
    <definedName name="OSRRefD21_6x_0" localSheetId="55">'311'!$D$88:$D$89</definedName>
    <definedName name="OSRRefD21_6x_0" localSheetId="66">'313'!$D$53</definedName>
    <definedName name="OSRRefD21_6x_0" localSheetId="58">'315'!$D$110</definedName>
    <definedName name="OSRRefD21_6x_0" localSheetId="61">'316'!$D$60:$D$61</definedName>
    <definedName name="OSRRefD21_6x_0" localSheetId="63">'317'!$D$82:$D$83</definedName>
    <definedName name="OSRRefD21_6x_0" localSheetId="67">'321'!$D$52:$D$53</definedName>
    <definedName name="OSRRefD21_6x_0" localSheetId="68">'322'!$D$50:$D$51</definedName>
    <definedName name="OSRRefD21_6x_0" localSheetId="69">'325'!$D$50</definedName>
    <definedName name="OSRRefD21_6x_0" localSheetId="59">'326'!$D$76</definedName>
    <definedName name="OSRRefD21_6x_0" localSheetId="52">'330'!$D$71:$D$72</definedName>
    <definedName name="OSRRefD21_6x_0" localSheetId="57">'331'!$D$111</definedName>
    <definedName name="OSRRefD21_6x_0" localSheetId="60">'332'!$D$62:$D$63</definedName>
    <definedName name="OSRRefD21_6x_0" localSheetId="74">'405'!$D$52</definedName>
    <definedName name="OSRRefD21_6x_0" localSheetId="76">'411'!$D$49</definedName>
    <definedName name="OSRRefD21_6x_0" localSheetId="77">'412'!$D$50</definedName>
    <definedName name="OSRRefD21_6x_0" localSheetId="78">'413'!$D$51:$D$52</definedName>
    <definedName name="OSRRefD21_6x_0" localSheetId="79">'414'!$D$53</definedName>
    <definedName name="OSRRefD21_6x_0" localSheetId="80">'415'!$D$56</definedName>
    <definedName name="OSRRefD21_6x_0" localSheetId="81">'418'!$D$52</definedName>
    <definedName name="OSRRefD21_6x_0" localSheetId="83">'423'!$D$48</definedName>
    <definedName name="OSRRefD21_6x_0" localSheetId="88">'430'!$D$51</definedName>
    <definedName name="OSRRefD21_6x_0" localSheetId="89">'433'!$D$56</definedName>
    <definedName name="OSRRefD21_6x_0" localSheetId="91">'444'!$D$56</definedName>
    <definedName name="OSRRefD21_6x_0" localSheetId="92">'450'!$D$52</definedName>
    <definedName name="OSRRefD21_6x_0" localSheetId="73">'491'!$D$60</definedName>
    <definedName name="OSRRefD21_6x_0" localSheetId="87">'492'!$D$56</definedName>
    <definedName name="OSRRefD21_6x_0" localSheetId="94">'501'!$D$52</definedName>
    <definedName name="OSRRefD21_6x_0" localSheetId="39">'Div 2'!$D$50</definedName>
    <definedName name="OSRRefD21_6x_0" localSheetId="47">'Div 3'!$D$159:$D$160</definedName>
    <definedName name="OSRRefD21_6x_0" localSheetId="71">'Div 4'!$D$63</definedName>
    <definedName name="OSRRefD21_6x_0" localSheetId="93">'Div 5'!$D$52</definedName>
    <definedName name="OSRRefD21_6x_0" localSheetId="62">'Div 6'!$D$82:$D$83</definedName>
    <definedName name="OSRRefD21_6x_0" localSheetId="2">Summary!$D$190:$D$191</definedName>
    <definedName name="OSRRefD21_6x_1" localSheetId="41">'201'!$E$48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'205'!$E$49:$E$50</definedName>
    <definedName name="OSRRefD21_6x_1" localSheetId="46">'206'!$E$48</definedName>
    <definedName name="OSRRefD21_6x_1" localSheetId="48">'300'!$E$155:$E$156</definedName>
    <definedName name="OSRRefD21_6x_1" localSheetId="49">'300 &amp; 317'!$E$179:$E$180</definedName>
    <definedName name="OSRRefD21_6x_1" localSheetId="50">'301'!$E$52</definedName>
    <definedName name="OSRRefD21_6x_1" localSheetId="51">'306'!$E$48</definedName>
    <definedName name="OSRRefD21_6x_1" localSheetId="53">'307'!$E$67:$E$68</definedName>
    <definedName name="OSRRefD21_6x_1" localSheetId="54">'308'!$E$89:$E$90</definedName>
    <definedName name="OSRRefD21_6x_1" localSheetId="65">'309'!$E$49</definedName>
    <definedName name="OSRRefD21_6x_1" localSheetId="64">'310'!$E$59</definedName>
    <definedName name="OSRRefD21_6x_1" localSheetId="72">'310 &amp; 491'!$E$66</definedName>
    <definedName name="OSRRefD21_6x_1" localSheetId="55">'311'!$E$88:$E$89</definedName>
    <definedName name="OSRRefD21_6x_1" localSheetId="66">'313'!$E$53</definedName>
    <definedName name="OSRRefD21_6x_1" localSheetId="58">'315'!$E$110</definedName>
    <definedName name="OSRRefD21_6x_1" localSheetId="61">'316'!$E$60:$E$61</definedName>
    <definedName name="OSRRefD21_6x_1" localSheetId="63">'317'!$E$82:$E$83</definedName>
    <definedName name="OSRRefD21_6x_1" localSheetId="67">'321'!$E$52:$E$53</definedName>
    <definedName name="OSRRefD21_6x_1" localSheetId="68">'322'!$E$50:$E$51</definedName>
    <definedName name="OSRRefD21_6x_1" localSheetId="69">'325'!$E$50</definedName>
    <definedName name="OSRRefD21_6x_1" localSheetId="59">'326'!$E$76</definedName>
    <definedName name="OSRRefD21_6x_1" localSheetId="52">'330'!$E$71:$E$72</definedName>
    <definedName name="OSRRefD21_6x_1" localSheetId="57">'331'!$E$111</definedName>
    <definedName name="OSRRefD21_6x_1" localSheetId="60">'332'!$E$62:$E$63</definedName>
    <definedName name="OSRRefD21_6x_1" localSheetId="74">'405'!$E$52</definedName>
    <definedName name="OSRRefD21_6x_1" localSheetId="76">'411'!$E$49</definedName>
    <definedName name="OSRRefD21_6x_1" localSheetId="77">'412'!$E$50</definedName>
    <definedName name="OSRRefD21_6x_1" localSheetId="78">'413'!$E$51:$E$52</definedName>
    <definedName name="OSRRefD21_6x_1" localSheetId="79">'414'!$E$53</definedName>
    <definedName name="OSRRefD21_6x_1" localSheetId="80">'415'!$E$56</definedName>
    <definedName name="OSRRefD21_6x_1" localSheetId="81">'418'!$E$52</definedName>
    <definedName name="OSRRefD21_6x_1" localSheetId="83">'423'!$E$48</definedName>
    <definedName name="OSRRefD21_6x_1" localSheetId="88">'430'!$E$51</definedName>
    <definedName name="OSRRefD21_6x_1" localSheetId="89">'433'!$E$56</definedName>
    <definedName name="OSRRefD21_6x_1" localSheetId="91">'444'!$E$56</definedName>
    <definedName name="OSRRefD21_6x_1" localSheetId="92">'450'!$E$52</definedName>
    <definedName name="OSRRefD21_6x_1" localSheetId="73">'491'!$E$60</definedName>
    <definedName name="OSRRefD21_6x_1" localSheetId="87">'492'!$E$56</definedName>
    <definedName name="OSRRefD21_6x_1" localSheetId="94">'501'!$E$52</definedName>
    <definedName name="OSRRefD21_6x_1" localSheetId="39">'Div 2'!$E$50</definedName>
    <definedName name="OSRRefD21_6x_1" localSheetId="47">'Div 3'!$E$159:$E$160</definedName>
    <definedName name="OSRRefD21_6x_1" localSheetId="71">'Div 4'!$E$63</definedName>
    <definedName name="OSRRefD21_6x_1" localSheetId="93">'Div 5'!$E$52</definedName>
    <definedName name="OSRRefD21_6x_1" localSheetId="62">'Div 6'!$E$82:$E$83</definedName>
    <definedName name="OSRRefD21_6x_1" localSheetId="2">Summary!$E$190:$E$191</definedName>
    <definedName name="OSRRefD21_6x_2" localSheetId="41">'201'!$F$48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'205'!$F$49:$F$50</definedName>
    <definedName name="OSRRefD21_6x_2" localSheetId="46">'206'!$F$48</definedName>
    <definedName name="OSRRefD21_6x_2" localSheetId="48">'300'!$F$155:$F$156</definedName>
    <definedName name="OSRRefD21_6x_2" localSheetId="49">'300 &amp; 317'!$F$179:$F$180</definedName>
    <definedName name="OSRRefD21_6x_2" localSheetId="50">'301'!$F$52</definedName>
    <definedName name="OSRRefD21_6x_2" localSheetId="51">'306'!$F$48</definedName>
    <definedName name="OSRRefD21_6x_2" localSheetId="53">'307'!$F$67:$F$68</definedName>
    <definedName name="OSRRefD21_6x_2" localSheetId="54">'308'!$F$89:$F$90</definedName>
    <definedName name="OSRRefD21_6x_2" localSheetId="65">'309'!$F$49</definedName>
    <definedName name="OSRRefD21_6x_2" localSheetId="64">'310'!$F$59</definedName>
    <definedName name="OSRRefD21_6x_2" localSheetId="72">'310 &amp; 491'!$F$66</definedName>
    <definedName name="OSRRefD21_6x_2" localSheetId="55">'311'!$F$88:$F$89</definedName>
    <definedName name="OSRRefD21_6x_2" localSheetId="66">'313'!$F$53</definedName>
    <definedName name="OSRRefD21_6x_2" localSheetId="58">'315'!$F$110</definedName>
    <definedName name="OSRRefD21_6x_2" localSheetId="61">'316'!$F$60:$F$61</definedName>
    <definedName name="OSRRefD21_6x_2" localSheetId="63">'317'!$F$82:$F$83</definedName>
    <definedName name="OSRRefD21_6x_2" localSheetId="67">'321'!$F$52:$F$53</definedName>
    <definedName name="OSRRefD21_6x_2" localSheetId="68">'322'!$F$50:$F$51</definedName>
    <definedName name="OSRRefD21_6x_2" localSheetId="69">'325'!$F$50</definedName>
    <definedName name="OSRRefD21_6x_2" localSheetId="59">'326'!$F$76</definedName>
    <definedName name="OSRRefD21_6x_2" localSheetId="52">'330'!$F$71:$F$72</definedName>
    <definedName name="OSRRefD21_6x_2" localSheetId="57">'331'!$F$111</definedName>
    <definedName name="OSRRefD21_6x_2" localSheetId="60">'332'!$F$62:$F$63</definedName>
    <definedName name="OSRRefD21_6x_2" localSheetId="74">'405'!$F$52</definedName>
    <definedName name="OSRRefD21_6x_2" localSheetId="76">'411'!$F$49</definedName>
    <definedName name="OSRRefD21_6x_2" localSheetId="77">'412'!$F$50</definedName>
    <definedName name="OSRRefD21_6x_2" localSheetId="78">'413'!$F$51:$F$52</definedName>
    <definedName name="OSRRefD21_6x_2" localSheetId="79">'414'!$F$53</definedName>
    <definedName name="OSRRefD21_6x_2" localSheetId="80">'415'!$F$56</definedName>
    <definedName name="OSRRefD21_6x_2" localSheetId="81">'418'!$F$52</definedName>
    <definedName name="OSRRefD21_6x_2" localSheetId="83">'423'!$F$48</definedName>
    <definedName name="OSRRefD21_6x_2" localSheetId="88">'430'!$F$51</definedName>
    <definedName name="OSRRefD21_6x_2" localSheetId="89">'433'!$F$56</definedName>
    <definedName name="OSRRefD21_6x_2" localSheetId="91">'444'!$F$56</definedName>
    <definedName name="OSRRefD21_6x_2" localSheetId="92">'450'!$F$52</definedName>
    <definedName name="OSRRefD21_6x_2" localSheetId="73">'491'!$F$60</definedName>
    <definedName name="OSRRefD21_6x_2" localSheetId="87">'492'!$F$56</definedName>
    <definedName name="OSRRefD21_6x_2" localSheetId="94">'501'!$F$52</definedName>
    <definedName name="OSRRefD21_6x_2" localSheetId="39">'Div 2'!$F$50</definedName>
    <definedName name="OSRRefD21_6x_2" localSheetId="47">'Div 3'!$F$159:$F$160</definedName>
    <definedName name="OSRRefD21_6x_2" localSheetId="71">'Div 4'!$F$63</definedName>
    <definedName name="OSRRefD21_6x_2" localSheetId="93">'Div 5'!$F$52</definedName>
    <definedName name="OSRRefD21_6x_2" localSheetId="62">'Div 6'!$F$82:$F$83</definedName>
    <definedName name="OSRRefD21_6x_2" localSheetId="2">Summary!$F$190:$F$191</definedName>
    <definedName name="OSRRefD21_6x_3" localSheetId="41">'201'!$G$48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'205'!$G$49:$G$50</definedName>
    <definedName name="OSRRefD21_6x_3" localSheetId="46">'206'!$G$48</definedName>
    <definedName name="OSRRefD21_6x_3" localSheetId="48">'300'!$G$155:$G$156</definedName>
    <definedName name="OSRRefD21_6x_3" localSheetId="49">'300 &amp; 317'!$G$179:$G$180</definedName>
    <definedName name="OSRRefD21_6x_3" localSheetId="50">'301'!$G$52</definedName>
    <definedName name="OSRRefD21_6x_3" localSheetId="51">'306'!$G$48</definedName>
    <definedName name="OSRRefD21_6x_3" localSheetId="53">'307'!$G$67:$G$68</definedName>
    <definedName name="OSRRefD21_6x_3" localSheetId="54">'308'!$G$89:$G$90</definedName>
    <definedName name="OSRRefD21_6x_3" localSheetId="65">'309'!$G$49</definedName>
    <definedName name="OSRRefD21_6x_3" localSheetId="64">'310'!$G$59</definedName>
    <definedName name="OSRRefD21_6x_3" localSheetId="72">'310 &amp; 491'!$G$66</definedName>
    <definedName name="OSRRefD21_6x_3" localSheetId="55">'311'!$G$88:$G$89</definedName>
    <definedName name="OSRRefD21_6x_3" localSheetId="66">'313'!$G$53</definedName>
    <definedName name="OSRRefD21_6x_3" localSheetId="58">'315'!$G$110</definedName>
    <definedName name="OSRRefD21_6x_3" localSheetId="61">'316'!$G$60:$G$61</definedName>
    <definedName name="OSRRefD21_6x_3" localSheetId="63">'317'!$G$82:$G$83</definedName>
    <definedName name="OSRRefD21_6x_3" localSheetId="67">'321'!$G$52:$G$53</definedName>
    <definedName name="OSRRefD21_6x_3" localSheetId="68">'322'!$G$50:$G$51</definedName>
    <definedName name="OSRRefD21_6x_3" localSheetId="69">'325'!$G$50</definedName>
    <definedName name="OSRRefD21_6x_3" localSheetId="59">'326'!$G$76</definedName>
    <definedName name="OSRRefD21_6x_3" localSheetId="52">'330'!$G$71:$G$72</definedName>
    <definedName name="OSRRefD21_6x_3" localSheetId="57">'331'!$G$111</definedName>
    <definedName name="OSRRefD21_6x_3" localSheetId="60">'332'!$G$62:$G$63</definedName>
    <definedName name="OSRRefD21_6x_3" localSheetId="74">'405'!$G$52</definedName>
    <definedName name="OSRRefD21_6x_3" localSheetId="76">'411'!$G$49</definedName>
    <definedName name="OSRRefD21_6x_3" localSheetId="77">'412'!$G$50</definedName>
    <definedName name="OSRRefD21_6x_3" localSheetId="78">'413'!$G$51:$G$52</definedName>
    <definedName name="OSRRefD21_6x_3" localSheetId="79">'414'!$G$53</definedName>
    <definedName name="OSRRefD21_6x_3" localSheetId="80">'415'!$G$56</definedName>
    <definedName name="OSRRefD21_6x_3" localSheetId="81">'418'!$G$52</definedName>
    <definedName name="OSRRefD21_6x_3" localSheetId="83">'423'!$G$48</definedName>
    <definedName name="OSRRefD21_6x_3" localSheetId="88">'430'!$G$51</definedName>
    <definedName name="OSRRefD21_6x_3" localSheetId="89">'433'!$G$56</definedName>
    <definedName name="OSRRefD21_6x_3" localSheetId="91">'444'!$G$56</definedName>
    <definedName name="OSRRefD21_6x_3" localSheetId="92">'450'!$G$52</definedName>
    <definedName name="OSRRefD21_6x_3" localSheetId="73">'491'!$G$60</definedName>
    <definedName name="OSRRefD21_6x_3" localSheetId="87">'492'!$G$56</definedName>
    <definedName name="OSRRefD21_6x_3" localSheetId="94">'501'!$G$52</definedName>
    <definedName name="OSRRefD21_6x_3" localSheetId="39">'Div 2'!$G$50</definedName>
    <definedName name="OSRRefD21_6x_3" localSheetId="47">'Div 3'!$G$159:$G$160</definedName>
    <definedName name="OSRRefD21_6x_3" localSheetId="71">'Div 4'!$G$63</definedName>
    <definedName name="OSRRefD21_6x_3" localSheetId="93">'Div 5'!$G$52</definedName>
    <definedName name="OSRRefD21_6x_3" localSheetId="62">'Div 6'!$G$82:$G$83</definedName>
    <definedName name="OSRRefD21_6x_3" localSheetId="2">Summary!$G$190:$G$191</definedName>
    <definedName name="OSRRefD21_6x_4" localSheetId="41">'201'!$H$48</definedName>
    <definedName name="OSRRefD21_6x_4" localSheetId="42">'202'!$H$49</definedName>
    <definedName name="OSRRefD21_6x_4" localSheetId="43">'203'!$H$49</definedName>
    <definedName name="OSRRefD21_6x_4" localSheetId="44">'204'!$H$51</definedName>
    <definedName name="OSRRefD21_6x_4" localSheetId="45">'205'!$H$49:$H$50</definedName>
    <definedName name="OSRRefD21_6x_4" localSheetId="46">'206'!$H$48</definedName>
    <definedName name="OSRRefD21_6x_4" localSheetId="48">'300'!$H$155:$H$156</definedName>
    <definedName name="OSRRefD21_6x_4" localSheetId="49">'300 &amp; 317'!$H$179:$H$180</definedName>
    <definedName name="OSRRefD21_6x_4" localSheetId="50">'301'!$H$52</definedName>
    <definedName name="OSRRefD21_6x_4" localSheetId="51">'306'!$H$48</definedName>
    <definedName name="OSRRefD21_6x_4" localSheetId="53">'307'!$H$67:$H$68</definedName>
    <definedName name="OSRRefD21_6x_4" localSheetId="54">'308'!$H$89:$H$90</definedName>
    <definedName name="OSRRefD21_6x_4" localSheetId="65">'309'!$H$49</definedName>
    <definedName name="OSRRefD21_6x_4" localSheetId="64">'310'!$H$59</definedName>
    <definedName name="OSRRefD21_6x_4" localSheetId="72">'310 &amp; 491'!$H$66</definedName>
    <definedName name="OSRRefD21_6x_4" localSheetId="55">'311'!$H$88:$H$89</definedName>
    <definedName name="OSRRefD21_6x_4" localSheetId="66">'313'!$H$53</definedName>
    <definedName name="OSRRefD21_6x_4" localSheetId="58">'315'!$H$110</definedName>
    <definedName name="OSRRefD21_6x_4" localSheetId="61">'316'!$H$60:$H$61</definedName>
    <definedName name="OSRRefD21_6x_4" localSheetId="63">'317'!$H$82:$H$83</definedName>
    <definedName name="OSRRefD21_6x_4" localSheetId="67">'321'!$H$52:$H$53</definedName>
    <definedName name="OSRRefD21_6x_4" localSheetId="68">'322'!$H$50:$H$51</definedName>
    <definedName name="OSRRefD21_6x_4" localSheetId="69">'325'!$H$50</definedName>
    <definedName name="OSRRefD21_6x_4" localSheetId="59">'326'!$H$76</definedName>
    <definedName name="OSRRefD21_6x_4" localSheetId="52">'330'!$H$71:$H$72</definedName>
    <definedName name="OSRRefD21_6x_4" localSheetId="57">'331'!$H$111</definedName>
    <definedName name="OSRRefD21_6x_4" localSheetId="60">'332'!$H$62:$H$63</definedName>
    <definedName name="OSRRefD21_6x_4" localSheetId="74">'405'!$H$52</definedName>
    <definedName name="OSRRefD21_6x_4" localSheetId="76">'411'!$H$49</definedName>
    <definedName name="OSRRefD21_6x_4" localSheetId="77">'412'!$H$50</definedName>
    <definedName name="OSRRefD21_6x_4" localSheetId="78">'413'!$H$51:$H$52</definedName>
    <definedName name="OSRRefD21_6x_4" localSheetId="79">'414'!$H$53</definedName>
    <definedName name="OSRRefD21_6x_4" localSheetId="80">'415'!$H$56</definedName>
    <definedName name="OSRRefD21_6x_4" localSheetId="81">'418'!$H$52</definedName>
    <definedName name="OSRRefD21_6x_4" localSheetId="83">'423'!$H$48</definedName>
    <definedName name="OSRRefD21_6x_4" localSheetId="88">'430'!$H$51</definedName>
    <definedName name="OSRRefD21_6x_4" localSheetId="89">'433'!$H$56</definedName>
    <definedName name="OSRRefD21_6x_4" localSheetId="91">'444'!$H$56</definedName>
    <definedName name="OSRRefD21_6x_4" localSheetId="92">'450'!$H$52</definedName>
    <definedName name="OSRRefD21_6x_4" localSheetId="73">'491'!$H$60</definedName>
    <definedName name="OSRRefD21_6x_4" localSheetId="87">'492'!$H$56</definedName>
    <definedName name="OSRRefD21_6x_4" localSheetId="94">'501'!$H$52</definedName>
    <definedName name="OSRRefD21_6x_4" localSheetId="39">'Div 2'!$H$50</definedName>
    <definedName name="OSRRefD21_6x_4" localSheetId="47">'Div 3'!$H$159:$H$160</definedName>
    <definedName name="OSRRefD21_6x_4" localSheetId="71">'Div 4'!$H$63</definedName>
    <definedName name="OSRRefD21_6x_4" localSheetId="93">'Div 5'!$H$52</definedName>
    <definedName name="OSRRefD21_6x_4" localSheetId="62">'Div 6'!$H$82:$H$83</definedName>
    <definedName name="OSRRefD21_6x_4" localSheetId="2">Summary!$H$190:$H$191</definedName>
    <definedName name="OSRRefD21_6x_5" localSheetId="41">'201'!$I$48</definedName>
    <definedName name="OSRRefD21_6x_5" localSheetId="42">'202'!$I$49</definedName>
    <definedName name="OSRRefD21_6x_5" localSheetId="43">'203'!$I$49</definedName>
    <definedName name="OSRRefD21_6x_5" localSheetId="44">'204'!$I$51</definedName>
    <definedName name="OSRRefD21_6x_5" localSheetId="45">'205'!$I$49:$I$50</definedName>
    <definedName name="OSRRefD21_6x_5" localSheetId="46">'206'!$I$48</definedName>
    <definedName name="OSRRefD21_6x_5" localSheetId="48">'300'!$I$155:$I$156</definedName>
    <definedName name="OSRRefD21_6x_5" localSheetId="49">'300 &amp; 317'!$I$179:$I$180</definedName>
    <definedName name="OSRRefD21_6x_5" localSheetId="50">'301'!$I$52</definedName>
    <definedName name="OSRRefD21_6x_5" localSheetId="51">'306'!$I$48</definedName>
    <definedName name="OSRRefD21_6x_5" localSheetId="53">'307'!$I$67:$I$68</definedName>
    <definedName name="OSRRefD21_6x_5" localSheetId="54">'308'!$I$89:$I$90</definedName>
    <definedName name="OSRRefD21_6x_5" localSheetId="65">'309'!$I$49</definedName>
    <definedName name="OSRRefD21_6x_5" localSheetId="64">'310'!$I$59</definedName>
    <definedName name="OSRRefD21_6x_5" localSheetId="72">'310 &amp; 491'!$I$66</definedName>
    <definedName name="OSRRefD21_6x_5" localSheetId="55">'311'!$I$88:$I$89</definedName>
    <definedName name="OSRRefD21_6x_5" localSheetId="66">'313'!$I$53</definedName>
    <definedName name="OSRRefD21_6x_5" localSheetId="58">'315'!$I$110</definedName>
    <definedName name="OSRRefD21_6x_5" localSheetId="61">'316'!$I$60:$I$61</definedName>
    <definedName name="OSRRefD21_6x_5" localSheetId="63">'317'!$I$82:$I$83</definedName>
    <definedName name="OSRRefD21_6x_5" localSheetId="67">'321'!$I$52:$I$53</definedName>
    <definedName name="OSRRefD21_6x_5" localSheetId="68">'322'!$I$50:$I$51</definedName>
    <definedName name="OSRRefD21_6x_5" localSheetId="69">'325'!$I$50</definedName>
    <definedName name="OSRRefD21_6x_5" localSheetId="59">'326'!$I$76</definedName>
    <definedName name="OSRRefD21_6x_5" localSheetId="52">'330'!$I$71:$I$72</definedName>
    <definedName name="OSRRefD21_6x_5" localSheetId="57">'331'!$I$111</definedName>
    <definedName name="OSRRefD21_6x_5" localSheetId="60">'332'!$I$62:$I$63</definedName>
    <definedName name="OSRRefD21_6x_5" localSheetId="74">'405'!$I$52</definedName>
    <definedName name="OSRRefD21_6x_5" localSheetId="76">'411'!$I$49</definedName>
    <definedName name="OSRRefD21_6x_5" localSheetId="77">'412'!$I$50</definedName>
    <definedName name="OSRRefD21_6x_5" localSheetId="78">'413'!$I$51:$I$52</definedName>
    <definedName name="OSRRefD21_6x_5" localSheetId="79">'414'!$I$53</definedName>
    <definedName name="OSRRefD21_6x_5" localSheetId="80">'415'!$I$56</definedName>
    <definedName name="OSRRefD21_6x_5" localSheetId="81">'418'!$I$52</definedName>
    <definedName name="OSRRefD21_6x_5" localSheetId="83">'423'!$I$48</definedName>
    <definedName name="OSRRefD21_6x_5" localSheetId="88">'430'!$I$51</definedName>
    <definedName name="OSRRefD21_6x_5" localSheetId="89">'433'!$I$56</definedName>
    <definedName name="OSRRefD21_6x_5" localSheetId="91">'444'!$I$56</definedName>
    <definedName name="OSRRefD21_6x_5" localSheetId="92">'450'!$I$52</definedName>
    <definedName name="OSRRefD21_6x_5" localSheetId="73">'491'!$I$60</definedName>
    <definedName name="OSRRefD21_6x_5" localSheetId="87">'492'!$I$56</definedName>
    <definedName name="OSRRefD21_6x_5" localSheetId="94">'501'!$I$52</definedName>
    <definedName name="OSRRefD21_6x_5" localSheetId="39">'Div 2'!$I$50</definedName>
    <definedName name="OSRRefD21_6x_5" localSheetId="47">'Div 3'!$I$159:$I$160</definedName>
    <definedName name="OSRRefD21_6x_5" localSheetId="71">'Div 4'!$I$63</definedName>
    <definedName name="OSRRefD21_6x_5" localSheetId="93">'Div 5'!$I$52</definedName>
    <definedName name="OSRRefD21_6x_5" localSheetId="62">'Div 6'!$I$82:$I$83</definedName>
    <definedName name="OSRRefD21_6x_5" localSheetId="2">Summary!$I$190:$I$191</definedName>
    <definedName name="OSRRefD21_6x_6" localSheetId="41">'201'!$J$48</definedName>
    <definedName name="OSRRefD21_6x_6" localSheetId="42">'202'!$J$49</definedName>
    <definedName name="OSRRefD21_6x_6" localSheetId="43">'203'!$J$49</definedName>
    <definedName name="OSRRefD21_6x_6" localSheetId="44">'204'!$J$51</definedName>
    <definedName name="OSRRefD21_6x_6" localSheetId="45">'205'!$J$49:$J$50</definedName>
    <definedName name="OSRRefD21_6x_6" localSheetId="46">'206'!$J$48</definedName>
    <definedName name="OSRRefD21_6x_6" localSheetId="48">'300'!$J$155:$J$156</definedName>
    <definedName name="OSRRefD21_6x_6" localSheetId="49">'300 &amp; 317'!$J$179:$J$180</definedName>
    <definedName name="OSRRefD21_6x_6" localSheetId="50">'301'!$J$52</definedName>
    <definedName name="OSRRefD21_6x_6" localSheetId="51">'306'!$J$48</definedName>
    <definedName name="OSRRefD21_6x_6" localSheetId="53">'307'!$J$67:$J$68</definedName>
    <definedName name="OSRRefD21_6x_6" localSheetId="54">'308'!$J$89:$J$90</definedName>
    <definedName name="OSRRefD21_6x_6" localSheetId="65">'309'!$J$49</definedName>
    <definedName name="OSRRefD21_6x_6" localSheetId="64">'310'!$J$59</definedName>
    <definedName name="OSRRefD21_6x_6" localSheetId="72">'310 &amp; 491'!$J$66</definedName>
    <definedName name="OSRRefD21_6x_6" localSheetId="55">'311'!$J$88:$J$89</definedName>
    <definedName name="OSRRefD21_6x_6" localSheetId="66">'313'!$J$53</definedName>
    <definedName name="OSRRefD21_6x_6" localSheetId="58">'315'!$J$110</definedName>
    <definedName name="OSRRefD21_6x_6" localSheetId="61">'316'!$J$60:$J$61</definedName>
    <definedName name="OSRRefD21_6x_6" localSheetId="63">'317'!$J$82:$J$83</definedName>
    <definedName name="OSRRefD21_6x_6" localSheetId="67">'321'!$J$52:$J$53</definedName>
    <definedName name="OSRRefD21_6x_6" localSheetId="68">'322'!$J$50:$J$51</definedName>
    <definedName name="OSRRefD21_6x_6" localSheetId="69">'325'!$J$50</definedName>
    <definedName name="OSRRefD21_6x_6" localSheetId="59">'326'!$J$76</definedName>
    <definedName name="OSRRefD21_6x_6" localSheetId="52">'330'!$J$71:$J$72</definedName>
    <definedName name="OSRRefD21_6x_6" localSheetId="57">'331'!$J$111</definedName>
    <definedName name="OSRRefD21_6x_6" localSheetId="60">'332'!$J$62:$J$63</definedName>
    <definedName name="OSRRefD21_6x_6" localSheetId="74">'405'!$J$52</definedName>
    <definedName name="OSRRefD21_6x_6" localSheetId="76">'411'!$J$49</definedName>
    <definedName name="OSRRefD21_6x_6" localSheetId="77">'412'!$J$50</definedName>
    <definedName name="OSRRefD21_6x_6" localSheetId="78">'413'!$J$51:$J$52</definedName>
    <definedName name="OSRRefD21_6x_6" localSheetId="79">'414'!$J$53</definedName>
    <definedName name="OSRRefD21_6x_6" localSheetId="80">'415'!$J$56</definedName>
    <definedName name="OSRRefD21_6x_6" localSheetId="81">'418'!$J$52</definedName>
    <definedName name="OSRRefD21_6x_6" localSheetId="83">'423'!$J$48</definedName>
    <definedName name="OSRRefD21_6x_6" localSheetId="88">'430'!$J$51</definedName>
    <definedName name="OSRRefD21_6x_6" localSheetId="89">'433'!$J$56</definedName>
    <definedName name="OSRRefD21_6x_6" localSheetId="91">'444'!$J$56</definedName>
    <definedName name="OSRRefD21_6x_6" localSheetId="92">'450'!$J$52</definedName>
    <definedName name="OSRRefD21_6x_6" localSheetId="73">'491'!$J$60</definedName>
    <definedName name="OSRRefD21_6x_6" localSheetId="87">'492'!$J$56</definedName>
    <definedName name="OSRRefD21_6x_6" localSheetId="94">'501'!$J$52</definedName>
    <definedName name="OSRRefD21_6x_6" localSheetId="39">'Div 2'!$J$50</definedName>
    <definedName name="OSRRefD21_6x_6" localSheetId="47">'Div 3'!$J$159:$J$160</definedName>
    <definedName name="OSRRefD21_6x_6" localSheetId="71">'Div 4'!$J$63</definedName>
    <definedName name="OSRRefD21_6x_6" localSheetId="93">'Div 5'!$J$52</definedName>
    <definedName name="OSRRefD21_6x_6" localSheetId="62">'Div 6'!$J$82:$J$83</definedName>
    <definedName name="OSRRefD21_6x_6" localSheetId="2">Summary!$J$190:$J$191</definedName>
    <definedName name="OSRRefD21_6x_7" localSheetId="41">'201'!$K$48</definedName>
    <definedName name="OSRRefD21_6x_7" localSheetId="42">'202'!$K$49</definedName>
    <definedName name="OSRRefD21_6x_7" localSheetId="43">'203'!$K$49</definedName>
    <definedName name="OSRRefD21_6x_7" localSheetId="44">'204'!$K$51</definedName>
    <definedName name="OSRRefD21_6x_7" localSheetId="45">'205'!$K$49:$K$50</definedName>
    <definedName name="OSRRefD21_6x_7" localSheetId="46">'206'!$K$48</definedName>
    <definedName name="OSRRefD21_6x_7" localSheetId="48">'300'!$K$155:$K$156</definedName>
    <definedName name="OSRRefD21_6x_7" localSheetId="49">'300 &amp; 317'!$K$179:$K$180</definedName>
    <definedName name="OSRRefD21_6x_7" localSheetId="50">'301'!$K$52</definedName>
    <definedName name="OSRRefD21_6x_7" localSheetId="51">'306'!$K$48</definedName>
    <definedName name="OSRRefD21_6x_7" localSheetId="53">'307'!$K$67:$K$68</definedName>
    <definedName name="OSRRefD21_6x_7" localSheetId="54">'308'!$K$89:$K$90</definedName>
    <definedName name="OSRRefD21_6x_7" localSheetId="65">'309'!$K$49</definedName>
    <definedName name="OSRRefD21_6x_7" localSheetId="64">'310'!$K$59</definedName>
    <definedName name="OSRRefD21_6x_7" localSheetId="72">'310 &amp; 491'!$K$66</definedName>
    <definedName name="OSRRefD21_6x_7" localSheetId="55">'311'!$K$88:$K$89</definedName>
    <definedName name="OSRRefD21_6x_7" localSheetId="66">'313'!$K$53</definedName>
    <definedName name="OSRRefD21_6x_7" localSheetId="58">'315'!$K$110</definedName>
    <definedName name="OSRRefD21_6x_7" localSheetId="61">'316'!$K$60:$K$61</definedName>
    <definedName name="OSRRefD21_6x_7" localSheetId="63">'317'!$K$82:$K$83</definedName>
    <definedName name="OSRRefD21_6x_7" localSheetId="67">'321'!$K$52:$K$53</definedName>
    <definedName name="OSRRefD21_6x_7" localSheetId="68">'322'!$K$50:$K$51</definedName>
    <definedName name="OSRRefD21_6x_7" localSheetId="69">'325'!$K$50</definedName>
    <definedName name="OSRRefD21_6x_7" localSheetId="59">'326'!$K$76</definedName>
    <definedName name="OSRRefD21_6x_7" localSheetId="52">'330'!$K$71:$K$72</definedName>
    <definedName name="OSRRefD21_6x_7" localSheetId="57">'331'!$K$111</definedName>
    <definedName name="OSRRefD21_6x_7" localSheetId="60">'332'!$K$62:$K$63</definedName>
    <definedName name="OSRRefD21_6x_7" localSheetId="74">'405'!$K$52</definedName>
    <definedName name="OSRRefD21_6x_7" localSheetId="76">'411'!$K$49</definedName>
    <definedName name="OSRRefD21_6x_7" localSheetId="77">'412'!$K$50</definedName>
    <definedName name="OSRRefD21_6x_7" localSheetId="78">'413'!$K$51:$K$52</definedName>
    <definedName name="OSRRefD21_6x_7" localSheetId="79">'414'!$K$53</definedName>
    <definedName name="OSRRefD21_6x_7" localSheetId="80">'415'!$K$56</definedName>
    <definedName name="OSRRefD21_6x_7" localSheetId="81">'418'!$K$52</definedName>
    <definedName name="OSRRefD21_6x_7" localSheetId="83">'423'!$K$48</definedName>
    <definedName name="OSRRefD21_6x_7" localSheetId="88">'430'!$K$51</definedName>
    <definedName name="OSRRefD21_6x_7" localSheetId="89">'433'!$K$56</definedName>
    <definedName name="OSRRefD21_6x_7" localSheetId="91">'444'!$K$56</definedName>
    <definedName name="OSRRefD21_6x_7" localSheetId="92">'450'!$K$52</definedName>
    <definedName name="OSRRefD21_6x_7" localSheetId="73">'491'!$K$60</definedName>
    <definedName name="OSRRefD21_6x_7" localSheetId="87">'492'!$K$56</definedName>
    <definedName name="OSRRefD21_6x_7" localSheetId="94">'501'!$K$52</definedName>
    <definedName name="OSRRefD21_6x_7" localSheetId="39">'Div 2'!$K$50</definedName>
    <definedName name="OSRRefD21_6x_7" localSheetId="47">'Div 3'!$K$159:$K$160</definedName>
    <definedName name="OSRRefD21_6x_7" localSheetId="71">'Div 4'!$K$63</definedName>
    <definedName name="OSRRefD21_6x_7" localSheetId="93">'Div 5'!$K$52</definedName>
    <definedName name="OSRRefD21_6x_7" localSheetId="62">'Div 6'!$K$82:$K$83</definedName>
    <definedName name="OSRRefD21_6x_7" localSheetId="2">Summary!$K$190:$K$191</definedName>
    <definedName name="OSRRefD21_6x_8" localSheetId="41">'201'!$L$48</definedName>
    <definedName name="OSRRefD21_6x_8" localSheetId="42">'202'!$L$49</definedName>
    <definedName name="OSRRefD21_6x_8" localSheetId="43">'203'!$L$49</definedName>
    <definedName name="OSRRefD21_6x_8" localSheetId="44">'204'!$L$51</definedName>
    <definedName name="OSRRefD21_6x_8" localSheetId="45">'205'!$L$49:$L$50</definedName>
    <definedName name="OSRRefD21_6x_8" localSheetId="46">'206'!$L$48</definedName>
    <definedName name="OSRRefD21_6x_8" localSheetId="48">'300'!$L$155:$L$156</definedName>
    <definedName name="OSRRefD21_6x_8" localSheetId="49">'300 &amp; 317'!$L$179:$L$180</definedName>
    <definedName name="OSRRefD21_6x_8" localSheetId="50">'301'!$L$52</definedName>
    <definedName name="OSRRefD21_6x_8" localSheetId="51">'306'!$L$48</definedName>
    <definedName name="OSRRefD21_6x_8" localSheetId="53">'307'!$L$67:$L$68</definedName>
    <definedName name="OSRRefD21_6x_8" localSheetId="54">'308'!$L$89:$L$90</definedName>
    <definedName name="OSRRefD21_6x_8" localSheetId="65">'309'!$L$49</definedName>
    <definedName name="OSRRefD21_6x_8" localSheetId="64">'310'!$L$59</definedName>
    <definedName name="OSRRefD21_6x_8" localSheetId="72">'310 &amp; 491'!$L$66</definedName>
    <definedName name="OSRRefD21_6x_8" localSheetId="55">'311'!$L$88:$L$89</definedName>
    <definedName name="OSRRefD21_6x_8" localSheetId="66">'313'!$L$53</definedName>
    <definedName name="OSRRefD21_6x_8" localSheetId="58">'315'!$L$110</definedName>
    <definedName name="OSRRefD21_6x_8" localSheetId="61">'316'!$L$60:$L$61</definedName>
    <definedName name="OSRRefD21_6x_8" localSheetId="63">'317'!$L$82:$L$83</definedName>
    <definedName name="OSRRefD21_6x_8" localSheetId="67">'321'!$L$52:$L$53</definedName>
    <definedName name="OSRRefD21_6x_8" localSheetId="68">'322'!$L$50:$L$51</definedName>
    <definedName name="OSRRefD21_6x_8" localSheetId="69">'325'!$L$50</definedName>
    <definedName name="OSRRefD21_6x_8" localSheetId="59">'326'!$L$76</definedName>
    <definedName name="OSRRefD21_6x_8" localSheetId="52">'330'!$L$71:$L$72</definedName>
    <definedName name="OSRRefD21_6x_8" localSheetId="57">'331'!$L$111</definedName>
    <definedName name="OSRRefD21_6x_8" localSheetId="60">'332'!$L$62:$L$63</definedName>
    <definedName name="OSRRefD21_6x_8" localSheetId="74">'405'!$L$52</definedName>
    <definedName name="OSRRefD21_6x_8" localSheetId="76">'411'!$L$49</definedName>
    <definedName name="OSRRefD21_6x_8" localSheetId="77">'412'!$L$50</definedName>
    <definedName name="OSRRefD21_6x_8" localSheetId="78">'413'!$L$51:$L$52</definedName>
    <definedName name="OSRRefD21_6x_8" localSheetId="79">'414'!$L$53</definedName>
    <definedName name="OSRRefD21_6x_8" localSheetId="80">'415'!$L$56</definedName>
    <definedName name="OSRRefD21_6x_8" localSheetId="81">'418'!$L$52</definedName>
    <definedName name="OSRRefD21_6x_8" localSheetId="83">'423'!$L$48</definedName>
    <definedName name="OSRRefD21_6x_8" localSheetId="88">'430'!$L$51</definedName>
    <definedName name="OSRRefD21_6x_8" localSheetId="89">'433'!$L$56</definedName>
    <definedName name="OSRRefD21_6x_8" localSheetId="91">'444'!$L$56</definedName>
    <definedName name="OSRRefD21_6x_8" localSheetId="92">'450'!$L$52</definedName>
    <definedName name="OSRRefD21_6x_8" localSheetId="73">'491'!$L$60</definedName>
    <definedName name="OSRRefD21_6x_8" localSheetId="87">'492'!$L$56</definedName>
    <definedName name="OSRRefD21_6x_8" localSheetId="94">'501'!$L$52</definedName>
    <definedName name="OSRRefD21_6x_8" localSheetId="39">'Div 2'!$L$50</definedName>
    <definedName name="OSRRefD21_6x_8" localSheetId="47">'Div 3'!$L$159:$L$160</definedName>
    <definedName name="OSRRefD21_6x_8" localSheetId="71">'Div 4'!$L$63</definedName>
    <definedName name="OSRRefD21_6x_8" localSheetId="93">'Div 5'!$L$52</definedName>
    <definedName name="OSRRefD21_6x_8" localSheetId="62">'Div 6'!$L$82:$L$83</definedName>
    <definedName name="OSRRefD21_6x_8" localSheetId="2">Summary!$L$190:$L$191</definedName>
    <definedName name="OSRRefD21_6x_9" localSheetId="41">'201'!$M$48</definedName>
    <definedName name="OSRRefD21_6x_9" localSheetId="42">'202'!$M$49</definedName>
    <definedName name="OSRRefD21_6x_9" localSheetId="43">'203'!$M$49</definedName>
    <definedName name="OSRRefD21_6x_9" localSheetId="44">'204'!$M$51</definedName>
    <definedName name="OSRRefD21_6x_9" localSheetId="45">'205'!$M$49:$M$50</definedName>
    <definedName name="OSRRefD21_6x_9" localSheetId="46">'206'!$M$48</definedName>
    <definedName name="OSRRefD21_6x_9" localSheetId="48">'300'!$M$155:$M$156</definedName>
    <definedName name="OSRRefD21_6x_9" localSheetId="49">'300 &amp; 317'!$M$179:$M$180</definedName>
    <definedName name="OSRRefD21_6x_9" localSheetId="50">'301'!$M$52</definedName>
    <definedName name="OSRRefD21_6x_9" localSheetId="51">'306'!$M$48</definedName>
    <definedName name="OSRRefD21_6x_9" localSheetId="53">'307'!$M$67:$M$68</definedName>
    <definedName name="OSRRefD21_6x_9" localSheetId="54">'308'!$M$89:$M$90</definedName>
    <definedName name="OSRRefD21_6x_9" localSheetId="65">'309'!$M$49</definedName>
    <definedName name="OSRRefD21_6x_9" localSheetId="64">'310'!$M$59</definedName>
    <definedName name="OSRRefD21_6x_9" localSheetId="72">'310 &amp; 491'!$M$66</definedName>
    <definedName name="OSRRefD21_6x_9" localSheetId="55">'311'!$M$88:$M$89</definedName>
    <definedName name="OSRRefD21_6x_9" localSheetId="66">'313'!$M$53</definedName>
    <definedName name="OSRRefD21_6x_9" localSheetId="58">'315'!$M$110</definedName>
    <definedName name="OSRRefD21_6x_9" localSheetId="61">'316'!$M$60:$M$61</definedName>
    <definedName name="OSRRefD21_6x_9" localSheetId="63">'317'!$M$82:$M$83</definedName>
    <definedName name="OSRRefD21_6x_9" localSheetId="67">'321'!$M$52:$M$53</definedName>
    <definedName name="OSRRefD21_6x_9" localSheetId="68">'322'!$M$50:$M$51</definedName>
    <definedName name="OSRRefD21_6x_9" localSheetId="69">'325'!$M$50</definedName>
    <definedName name="OSRRefD21_6x_9" localSheetId="59">'326'!$M$76</definedName>
    <definedName name="OSRRefD21_6x_9" localSheetId="52">'330'!$M$71:$M$72</definedName>
    <definedName name="OSRRefD21_6x_9" localSheetId="57">'331'!$M$111</definedName>
    <definedName name="OSRRefD21_6x_9" localSheetId="60">'332'!$M$62:$M$63</definedName>
    <definedName name="OSRRefD21_6x_9" localSheetId="74">'405'!$M$52</definedName>
    <definedName name="OSRRefD21_6x_9" localSheetId="76">'411'!$M$49</definedName>
    <definedName name="OSRRefD21_6x_9" localSheetId="77">'412'!$M$50</definedName>
    <definedName name="OSRRefD21_6x_9" localSheetId="78">'413'!$M$51:$M$52</definedName>
    <definedName name="OSRRefD21_6x_9" localSheetId="79">'414'!$M$53</definedName>
    <definedName name="OSRRefD21_6x_9" localSheetId="80">'415'!$M$56</definedName>
    <definedName name="OSRRefD21_6x_9" localSheetId="81">'418'!$M$52</definedName>
    <definedName name="OSRRefD21_6x_9" localSheetId="83">'423'!$M$48</definedName>
    <definedName name="OSRRefD21_6x_9" localSheetId="88">'430'!$M$51</definedName>
    <definedName name="OSRRefD21_6x_9" localSheetId="89">'433'!$M$56</definedName>
    <definedName name="OSRRefD21_6x_9" localSheetId="91">'444'!$M$56</definedName>
    <definedName name="OSRRefD21_6x_9" localSheetId="92">'450'!$M$52</definedName>
    <definedName name="OSRRefD21_6x_9" localSheetId="73">'491'!$M$60</definedName>
    <definedName name="OSRRefD21_6x_9" localSheetId="87">'492'!$M$56</definedName>
    <definedName name="OSRRefD21_6x_9" localSheetId="94">'501'!$M$52</definedName>
    <definedName name="OSRRefD21_6x_9" localSheetId="39">'Div 2'!$M$50</definedName>
    <definedName name="OSRRefD21_6x_9" localSheetId="47">'Div 3'!$M$159:$M$160</definedName>
    <definedName name="OSRRefD21_6x_9" localSheetId="71">'Div 4'!$M$63</definedName>
    <definedName name="OSRRefD21_6x_9" localSheetId="93">'Div 5'!$M$52</definedName>
    <definedName name="OSRRefD21_6x_9" localSheetId="62">'Div 6'!$M$82:$M$83</definedName>
    <definedName name="OSRRefD21_6x_9" localSheetId="2">Summary!$M$190:$M$191</definedName>
    <definedName name="OSRRefD21_7_0x" localSheetId="41">'201'!$D$50:$M$50</definedName>
    <definedName name="OSRRefD21_7_0x" localSheetId="42">'202'!$D$51:$M$51</definedName>
    <definedName name="OSRRefD21_7_0x" localSheetId="43">'203'!$D$51:$M$51</definedName>
    <definedName name="OSRRefD21_7_0x" localSheetId="44">'204'!$D$53:$M$53</definedName>
    <definedName name="OSRRefD21_7_0x" localSheetId="45">'205'!$D$52:$M$52</definedName>
    <definedName name="OSRRefD21_7_0x" localSheetId="48">'300'!$D$158:$M$158</definedName>
    <definedName name="OSRRefD21_7_0x" localSheetId="49">'300 &amp; 317'!$D$182:$M$182</definedName>
    <definedName name="OSRRefD21_7_0x" localSheetId="50">'301'!$D$54:$M$54</definedName>
    <definedName name="OSRRefD21_7_0x" localSheetId="51">'306'!$D$50:$M$50</definedName>
    <definedName name="OSRRefD21_7_0x" localSheetId="53">'307'!$D$70:$M$70</definedName>
    <definedName name="OSRRefD21_7_0x" localSheetId="54">'308'!$D$92:$M$92</definedName>
    <definedName name="OSRRefD21_7_0x" localSheetId="65">'309'!$D$51:$M$51</definedName>
    <definedName name="OSRRefD21_7_0x" localSheetId="64">'310'!$D$61:$M$61</definedName>
    <definedName name="OSRRefD21_7_0x" localSheetId="72">'310 &amp; 491'!$D$68:$M$68</definedName>
    <definedName name="OSRRefD21_7_0x" localSheetId="55">'311'!$D$91:$M$91</definedName>
    <definedName name="OSRRefD21_7_0x" localSheetId="58">'315'!$D$112:$M$112</definedName>
    <definedName name="OSRRefD21_7_0x" localSheetId="61">'316'!$D$63:$M$63</definedName>
    <definedName name="OSRRefD21_7_0x" localSheetId="63">'317'!$D$85:$M$85</definedName>
    <definedName name="OSRRefD21_7_0x" localSheetId="67">'321'!$D$55:$M$55</definedName>
    <definedName name="OSRRefD21_7_0x" localSheetId="68">'322'!$D$53:$M$53</definedName>
    <definedName name="OSRRefD21_7_0x" localSheetId="69">'325'!$D$52:$M$52</definedName>
    <definedName name="OSRRefD21_7_0x" localSheetId="59">'326'!$D$78:$M$78</definedName>
    <definedName name="OSRRefD21_7_0x" localSheetId="52">'330'!$D$74:$M$74</definedName>
    <definedName name="OSRRefD21_7_0x" localSheetId="57">'331'!$D$113:$M$113</definedName>
    <definedName name="OSRRefD21_7_0x" localSheetId="60">'332'!$D$65:$M$65</definedName>
    <definedName name="OSRRefD21_7_0x" localSheetId="74">'405'!$D$54:$M$54</definedName>
    <definedName name="OSRRefD21_7_0x" localSheetId="76">'411'!$D$51:$M$51</definedName>
    <definedName name="OSRRefD21_7_0x" localSheetId="77">'412'!$D$52:$M$52</definedName>
    <definedName name="OSRRefD21_7_0x" localSheetId="78">'413'!$D$54:$M$54</definedName>
    <definedName name="OSRRefD21_7_0x" localSheetId="79">'414'!$D$55:$M$55</definedName>
    <definedName name="OSRRefD21_7_0x" localSheetId="80">'415'!$D$58:$M$58</definedName>
    <definedName name="OSRRefD21_7_0x" localSheetId="81">'418'!$D$54:$M$54</definedName>
    <definedName name="OSRRefD21_7_0x" localSheetId="88">'430'!$D$53:$M$53</definedName>
    <definedName name="OSRRefD21_7_0x" localSheetId="89">'433'!$D$58:$M$58</definedName>
    <definedName name="OSRRefD21_7_0x" localSheetId="91">'444'!$D$58:$M$58</definedName>
    <definedName name="OSRRefD21_7_0x" localSheetId="92">'450'!$D$54:$M$54</definedName>
    <definedName name="OSRRefD21_7_0x" localSheetId="73">'491'!$D$62:$M$62</definedName>
    <definedName name="OSRRefD21_7_0x" localSheetId="87">'492'!$D$58:$M$58</definedName>
    <definedName name="OSRRefD21_7_0x" localSheetId="94">'501'!$D$54:$M$54</definedName>
    <definedName name="OSRRefD21_7_0x" localSheetId="39">'Div 2'!$D$52:$M$52</definedName>
    <definedName name="OSRRefD21_7_0x" localSheetId="47">'Div 3'!$D$162:$M$162</definedName>
    <definedName name="OSRRefD21_7_0x" localSheetId="71">'Div 4'!$D$65:$M$65</definedName>
    <definedName name="OSRRefD21_7_0x" localSheetId="93">'Div 5'!$D$54:$M$54</definedName>
    <definedName name="OSRRefD21_7_0x" localSheetId="62">'Div 6'!$D$85:$M$85</definedName>
    <definedName name="OSRRefD21_7_0x" localSheetId="2">Summary!$D$193:$M$193</definedName>
    <definedName name="OSRRefD21_7_1x" localSheetId="42">'202'!$D$52:$M$52</definedName>
    <definedName name="OSRRefD21_7_1x" localSheetId="54">'308'!$D$93:$M$93</definedName>
    <definedName name="OSRRefD21_7_1x" localSheetId="65">'309'!$D$52:$M$52</definedName>
    <definedName name="OSRRefD21_7_1x" localSheetId="55">'311'!$D$92:$M$92</definedName>
    <definedName name="OSRRefD21_7_1x" localSheetId="58">'315'!$D$113:$M$113</definedName>
    <definedName name="OSRRefD21_7_1x" localSheetId="61">'316'!$D$64:$M$64</definedName>
    <definedName name="OSRRefD21_7_1x" localSheetId="68">'322'!$D$54:$M$54</definedName>
    <definedName name="OSRRefD21_7_1x" localSheetId="57">'331'!$D$114:$M$114</definedName>
    <definedName name="OSRRefD21_7_1x" localSheetId="60">'332'!$D$66:$M$66</definedName>
    <definedName name="OSRRefD21_7_1x" localSheetId="78">'413'!$D$55:$M$55</definedName>
    <definedName name="OSRRefD21_7_2x" localSheetId="42">'202'!$D$53:$M$53</definedName>
    <definedName name="OSRRefD21_7_2x" localSheetId="61">'316'!$D$65:$M$65</definedName>
    <definedName name="OSRRefD21_7_2x" localSheetId="60">'332'!$D$67:$M$67</definedName>
    <definedName name="OSRRefD21_7x_0" localSheetId="41">'201'!$D$50</definedName>
    <definedName name="OSRRefD21_7x_0" localSheetId="42">'202'!$D$51:$D$53</definedName>
    <definedName name="OSRRefD21_7x_0" localSheetId="43">'203'!$D$51</definedName>
    <definedName name="OSRRefD21_7x_0" localSheetId="44">'204'!$D$53</definedName>
    <definedName name="OSRRefD21_7x_0" localSheetId="45">'205'!$D$52</definedName>
    <definedName name="OSRRefD21_7x_0" localSheetId="48">'300'!$D$158</definedName>
    <definedName name="OSRRefD21_7x_0" localSheetId="49">'300 &amp; 317'!$D$182</definedName>
    <definedName name="OSRRefD21_7x_0" localSheetId="50">'301'!$D$54</definedName>
    <definedName name="OSRRefD21_7x_0" localSheetId="51">'306'!$D$50</definedName>
    <definedName name="OSRRefD21_7x_0" localSheetId="53">'307'!$D$70</definedName>
    <definedName name="OSRRefD21_7x_0" localSheetId="54">'308'!$D$92:$D$93</definedName>
    <definedName name="OSRRefD21_7x_0" localSheetId="65">'309'!$D$51:$D$52</definedName>
    <definedName name="OSRRefD21_7x_0" localSheetId="64">'310'!$D$61</definedName>
    <definedName name="OSRRefD21_7x_0" localSheetId="72">'310 &amp; 491'!$D$68</definedName>
    <definedName name="OSRRefD21_7x_0" localSheetId="55">'311'!$D$91:$D$92</definedName>
    <definedName name="OSRRefD21_7x_0" localSheetId="58">'315'!$D$112:$D$113</definedName>
    <definedName name="OSRRefD21_7x_0" localSheetId="61">'316'!$D$63:$D$65</definedName>
    <definedName name="OSRRefD21_7x_0" localSheetId="63">'317'!$D$85</definedName>
    <definedName name="OSRRefD21_7x_0" localSheetId="67">'321'!$D$55</definedName>
    <definedName name="OSRRefD21_7x_0" localSheetId="68">'322'!$D$53:$D$54</definedName>
    <definedName name="OSRRefD21_7x_0" localSheetId="69">'325'!$D$52</definedName>
    <definedName name="OSRRefD21_7x_0" localSheetId="59">'326'!$D$78</definedName>
    <definedName name="OSRRefD21_7x_0" localSheetId="52">'330'!$D$74</definedName>
    <definedName name="OSRRefD21_7x_0" localSheetId="57">'331'!$D$113:$D$114</definedName>
    <definedName name="OSRRefD21_7x_0" localSheetId="60">'332'!$D$65:$D$67</definedName>
    <definedName name="OSRRefD21_7x_0" localSheetId="74">'405'!$D$54</definedName>
    <definedName name="OSRRefD21_7x_0" localSheetId="76">'411'!$D$51</definedName>
    <definedName name="OSRRefD21_7x_0" localSheetId="77">'412'!$D$52</definedName>
    <definedName name="OSRRefD21_7x_0" localSheetId="78">'413'!$D$54:$D$55</definedName>
    <definedName name="OSRRefD21_7x_0" localSheetId="79">'414'!$D$55</definedName>
    <definedName name="OSRRefD21_7x_0" localSheetId="80">'415'!$D$58</definedName>
    <definedName name="OSRRefD21_7x_0" localSheetId="81">'418'!$D$54</definedName>
    <definedName name="OSRRefD21_7x_0" localSheetId="88">'430'!$D$53</definedName>
    <definedName name="OSRRefD21_7x_0" localSheetId="89">'433'!$D$58</definedName>
    <definedName name="OSRRefD21_7x_0" localSheetId="91">'444'!$D$58</definedName>
    <definedName name="OSRRefD21_7x_0" localSheetId="92">'450'!$D$54</definedName>
    <definedName name="OSRRefD21_7x_0" localSheetId="73">'491'!$D$62</definedName>
    <definedName name="OSRRefD21_7x_0" localSheetId="87">'492'!$D$58</definedName>
    <definedName name="OSRRefD21_7x_0" localSheetId="94">'501'!$D$54</definedName>
    <definedName name="OSRRefD21_7x_0" localSheetId="39">'Div 2'!$D$52</definedName>
    <definedName name="OSRRefD21_7x_0" localSheetId="47">'Div 3'!$D$162</definedName>
    <definedName name="OSRRefD21_7x_0" localSheetId="71">'Div 4'!$D$65</definedName>
    <definedName name="OSRRefD21_7x_0" localSheetId="93">'Div 5'!$D$54</definedName>
    <definedName name="OSRRefD21_7x_0" localSheetId="62">'Div 6'!$D$85</definedName>
    <definedName name="OSRRefD21_7x_0" localSheetId="2">Summary!$D$193</definedName>
    <definedName name="OSRRefD21_7x_1" localSheetId="41">'201'!$E$50</definedName>
    <definedName name="OSRRefD21_7x_1" localSheetId="42">'202'!$E$51:$E$53</definedName>
    <definedName name="OSRRefD21_7x_1" localSheetId="43">'203'!$E$51</definedName>
    <definedName name="OSRRefD21_7x_1" localSheetId="44">'204'!$E$53</definedName>
    <definedName name="OSRRefD21_7x_1" localSheetId="45">'205'!$E$52</definedName>
    <definedName name="OSRRefD21_7x_1" localSheetId="48">'300'!$E$158</definedName>
    <definedName name="OSRRefD21_7x_1" localSheetId="49">'300 &amp; 317'!$E$182</definedName>
    <definedName name="OSRRefD21_7x_1" localSheetId="50">'301'!$E$54</definedName>
    <definedName name="OSRRefD21_7x_1" localSheetId="51">'306'!$E$50</definedName>
    <definedName name="OSRRefD21_7x_1" localSheetId="53">'307'!$E$70</definedName>
    <definedName name="OSRRefD21_7x_1" localSheetId="54">'308'!$E$92:$E$93</definedName>
    <definedName name="OSRRefD21_7x_1" localSheetId="65">'309'!$E$51:$E$52</definedName>
    <definedName name="OSRRefD21_7x_1" localSheetId="64">'310'!$E$61</definedName>
    <definedName name="OSRRefD21_7x_1" localSheetId="72">'310 &amp; 491'!$E$68</definedName>
    <definedName name="OSRRefD21_7x_1" localSheetId="55">'311'!$E$91:$E$92</definedName>
    <definedName name="OSRRefD21_7x_1" localSheetId="58">'315'!$E$112:$E$113</definedName>
    <definedName name="OSRRefD21_7x_1" localSheetId="61">'316'!$E$63:$E$65</definedName>
    <definedName name="OSRRefD21_7x_1" localSheetId="63">'317'!$E$85</definedName>
    <definedName name="OSRRefD21_7x_1" localSheetId="67">'321'!$E$55</definedName>
    <definedName name="OSRRefD21_7x_1" localSheetId="68">'322'!$E$53:$E$54</definedName>
    <definedName name="OSRRefD21_7x_1" localSheetId="69">'325'!$E$52</definedName>
    <definedName name="OSRRefD21_7x_1" localSheetId="59">'326'!$E$78</definedName>
    <definedName name="OSRRefD21_7x_1" localSheetId="52">'330'!$E$74</definedName>
    <definedName name="OSRRefD21_7x_1" localSheetId="57">'331'!$E$113:$E$114</definedName>
    <definedName name="OSRRefD21_7x_1" localSheetId="60">'332'!$E$65:$E$67</definedName>
    <definedName name="OSRRefD21_7x_1" localSheetId="74">'405'!$E$54</definedName>
    <definedName name="OSRRefD21_7x_1" localSheetId="76">'411'!$E$51</definedName>
    <definedName name="OSRRefD21_7x_1" localSheetId="77">'412'!$E$52</definedName>
    <definedName name="OSRRefD21_7x_1" localSheetId="78">'413'!$E$54:$E$55</definedName>
    <definedName name="OSRRefD21_7x_1" localSheetId="79">'414'!$E$55</definedName>
    <definedName name="OSRRefD21_7x_1" localSheetId="80">'415'!$E$58</definedName>
    <definedName name="OSRRefD21_7x_1" localSheetId="81">'418'!$E$54</definedName>
    <definedName name="OSRRefD21_7x_1" localSheetId="88">'430'!$E$53</definedName>
    <definedName name="OSRRefD21_7x_1" localSheetId="89">'433'!$E$58</definedName>
    <definedName name="OSRRefD21_7x_1" localSheetId="91">'444'!$E$58</definedName>
    <definedName name="OSRRefD21_7x_1" localSheetId="92">'450'!$E$54</definedName>
    <definedName name="OSRRefD21_7x_1" localSheetId="73">'491'!$E$62</definedName>
    <definedName name="OSRRefD21_7x_1" localSheetId="87">'492'!$E$58</definedName>
    <definedName name="OSRRefD21_7x_1" localSheetId="94">'501'!$E$54</definedName>
    <definedName name="OSRRefD21_7x_1" localSheetId="39">'Div 2'!$E$52</definedName>
    <definedName name="OSRRefD21_7x_1" localSheetId="47">'Div 3'!$E$162</definedName>
    <definedName name="OSRRefD21_7x_1" localSheetId="71">'Div 4'!$E$65</definedName>
    <definedName name="OSRRefD21_7x_1" localSheetId="93">'Div 5'!$E$54</definedName>
    <definedName name="OSRRefD21_7x_1" localSheetId="62">'Div 6'!$E$85</definedName>
    <definedName name="OSRRefD21_7x_1" localSheetId="2">Summary!$E$193</definedName>
    <definedName name="OSRRefD21_7x_2" localSheetId="41">'201'!$F$50</definedName>
    <definedName name="OSRRefD21_7x_2" localSheetId="42">'202'!$F$51:$F$53</definedName>
    <definedName name="OSRRefD21_7x_2" localSheetId="43">'203'!$F$51</definedName>
    <definedName name="OSRRefD21_7x_2" localSheetId="44">'204'!$F$53</definedName>
    <definedName name="OSRRefD21_7x_2" localSheetId="45">'205'!$F$52</definedName>
    <definedName name="OSRRefD21_7x_2" localSheetId="48">'300'!$F$158</definedName>
    <definedName name="OSRRefD21_7x_2" localSheetId="49">'300 &amp; 317'!$F$182</definedName>
    <definedName name="OSRRefD21_7x_2" localSheetId="50">'301'!$F$54</definedName>
    <definedName name="OSRRefD21_7x_2" localSheetId="51">'306'!$F$50</definedName>
    <definedName name="OSRRefD21_7x_2" localSheetId="53">'307'!$F$70</definedName>
    <definedName name="OSRRefD21_7x_2" localSheetId="54">'308'!$F$92:$F$93</definedName>
    <definedName name="OSRRefD21_7x_2" localSheetId="65">'309'!$F$51:$F$52</definedName>
    <definedName name="OSRRefD21_7x_2" localSheetId="64">'310'!$F$61</definedName>
    <definedName name="OSRRefD21_7x_2" localSheetId="72">'310 &amp; 491'!$F$68</definedName>
    <definedName name="OSRRefD21_7x_2" localSheetId="55">'311'!$F$91:$F$92</definedName>
    <definedName name="OSRRefD21_7x_2" localSheetId="58">'315'!$F$112:$F$113</definedName>
    <definedName name="OSRRefD21_7x_2" localSheetId="61">'316'!$F$63:$F$65</definedName>
    <definedName name="OSRRefD21_7x_2" localSheetId="63">'317'!$F$85</definedName>
    <definedName name="OSRRefD21_7x_2" localSheetId="67">'321'!$F$55</definedName>
    <definedName name="OSRRefD21_7x_2" localSheetId="68">'322'!$F$53:$F$54</definedName>
    <definedName name="OSRRefD21_7x_2" localSheetId="69">'325'!$F$52</definedName>
    <definedName name="OSRRefD21_7x_2" localSheetId="59">'326'!$F$78</definedName>
    <definedName name="OSRRefD21_7x_2" localSheetId="52">'330'!$F$74</definedName>
    <definedName name="OSRRefD21_7x_2" localSheetId="57">'331'!$F$113:$F$114</definedName>
    <definedName name="OSRRefD21_7x_2" localSheetId="60">'332'!$F$65:$F$67</definedName>
    <definedName name="OSRRefD21_7x_2" localSheetId="74">'405'!$F$54</definedName>
    <definedName name="OSRRefD21_7x_2" localSheetId="76">'411'!$F$51</definedName>
    <definedName name="OSRRefD21_7x_2" localSheetId="77">'412'!$F$52</definedName>
    <definedName name="OSRRefD21_7x_2" localSheetId="78">'413'!$F$54:$F$55</definedName>
    <definedName name="OSRRefD21_7x_2" localSheetId="79">'414'!$F$55</definedName>
    <definedName name="OSRRefD21_7x_2" localSheetId="80">'415'!$F$58</definedName>
    <definedName name="OSRRefD21_7x_2" localSheetId="81">'418'!$F$54</definedName>
    <definedName name="OSRRefD21_7x_2" localSheetId="88">'430'!$F$53</definedName>
    <definedName name="OSRRefD21_7x_2" localSheetId="89">'433'!$F$58</definedName>
    <definedName name="OSRRefD21_7x_2" localSheetId="91">'444'!$F$58</definedName>
    <definedName name="OSRRefD21_7x_2" localSheetId="92">'450'!$F$54</definedName>
    <definedName name="OSRRefD21_7x_2" localSheetId="73">'491'!$F$62</definedName>
    <definedName name="OSRRefD21_7x_2" localSheetId="87">'492'!$F$58</definedName>
    <definedName name="OSRRefD21_7x_2" localSheetId="94">'501'!$F$54</definedName>
    <definedName name="OSRRefD21_7x_2" localSheetId="39">'Div 2'!$F$52</definedName>
    <definedName name="OSRRefD21_7x_2" localSheetId="47">'Div 3'!$F$162</definedName>
    <definedName name="OSRRefD21_7x_2" localSheetId="71">'Div 4'!$F$65</definedName>
    <definedName name="OSRRefD21_7x_2" localSheetId="93">'Div 5'!$F$54</definedName>
    <definedName name="OSRRefD21_7x_2" localSheetId="62">'Div 6'!$F$85</definedName>
    <definedName name="OSRRefD21_7x_2" localSheetId="2">Summary!$F$193</definedName>
    <definedName name="OSRRefD21_7x_3" localSheetId="41">'201'!$G$50</definedName>
    <definedName name="OSRRefD21_7x_3" localSheetId="42">'202'!$G$51:$G$53</definedName>
    <definedName name="OSRRefD21_7x_3" localSheetId="43">'203'!$G$51</definedName>
    <definedName name="OSRRefD21_7x_3" localSheetId="44">'204'!$G$53</definedName>
    <definedName name="OSRRefD21_7x_3" localSheetId="45">'205'!$G$52</definedName>
    <definedName name="OSRRefD21_7x_3" localSheetId="48">'300'!$G$158</definedName>
    <definedName name="OSRRefD21_7x_3" localSheetId="49">'300 &amp; 317'!$G$182</definedName>
    <definedName name="OSRRefD21_7x_3" localSheetId="50">'301'!$G$54</definedName>
    <definedName name="OSRRefD21_7x_3" localSheetId="51">'306'!$G$50</definedName>
    <definedName name="OSRRefD21_7x_3" localSheetId="53">'307'!$G$70</definedName>
    <definedName name="OSRRefD21_7x_3" localSheetId="54">'308'!$G$92:$G$93</definedName>
    <definedName name="OSRRefD21_7x_3" localSheetId="65">'309'!$G$51:$G$52</definedName>
    <definedName name="OSRRefD21_7x_3" localSheetId="64">'310'!$G$61</definedName>
    <definedName name="OSRRefD21_7x_3" localSheetId="72">'310 &amp; 491'!$G$68</definedName>
    <definedName name="OSRRefD21_7x_3" localSheetId="55">'311'!$G$91:$G$92</definedName>
    <definedName name="OSRRefD21_7x_3" localSheetId="58">'315'!$G$112:$G$113</definedName>
    <definedName name="OSRRefD21_7x_3" localSheetId="61">'316'!$G$63:$G$65</definedName>
    <definedName name="OSRRefD21_7x_3" localSheetId="63">'317'!$G$85</definedName>
    <definedName name="OSRRefD21_7x_3" localSheetId="67">'321'!$G$55</definedName>
    <definedName name="OSRRefD21_7x_3" localSheetId="68">'322'!$G$53:$G$54</definedName>
    <definedName name="OSRRefD21_7x_3" localSheetId="69">'325'!$G$52</definedName>
    <definedName name="OSRRefD21_7x_3" localSheetId="59">'326'!$G$78</definedName>
    <definedName name="OSRRefD21_7x_3" localSheetId="52">'330'!$G$74</definedName>
    <definedName name="OSRRefD21_7x_3" localSheetId="57">'331'!$G$113:$G$114</definedName>
    <definedName name="OSRRefD21_7x_3" localSheetId="60">'332'!$G$65:$G$67</definedName>
    <definedName name="OSRRefD21_7x_3" localSheetId="74">'405'!$G$54</definedName>
    <definedName name="OSRRefD21_7x_3" localSheetId="76">'411'!$G$51</definedName>
    <definedName name="OSRRefD21_7x_3" localSheetId="77">'412'!$G$52</definedName>
    <definedName name="OSRRefD21_7x_3" localSheetId="78">'413'!$G$54:$G$55</definedName>
    <definedName name="OSRRefD21_7x_3" localSheetId="79">'414'!$G$55</definedName>
    <definedName name="OSRRefD21_7x_3" localSheetId="80">'415'!$G$58</definedName>
    <definedName name="OSRRefD21_7x_3" localSheetId="81">'418'!$G$54</definedName>
    <definedName name="OSRRefD21_7x_3" localSheetId="88">'430'!$G$53</definedName>
    <definedName name="OSRRefD21_7x_3" localSheetId="89">'433'!$G$58</definedName>
    <definedName name="OSRRefD21_7x_3" localSheetId="91">'444'!$G$58</definedName>
    <definedName name="OSRRefD21_7x_3" localSheetId="92">'450'!$G$54</definedName>
    <definedName name="OSRRefD21_7x_3" localSheetId="73">'491'!$G$62</definedName>
    <definedName name="OSRRefD21_7x_3" localSheetId="87">'492'!$G$58</definedName>
    <definedName name="OSRRefD21_7x_3" localSheetId="94">'501'!$G$54</definedName>
    <definedName name="OSRRefD21_7x_3" localSheetId="39">'Div 2'!$G$52</definedName>
    <definedName name="OSRRefD21_7x_3" localSheetId="47">'Div 3'!$G$162</definedName>
    <definedName name="OSRRefD21_7x_3" localSheetId="71">'Div 4'!$G$65</definedName>
    <definedName name="OSRRefD21_7x_3" localSheetId="93">'Div 5'!$G$54</definedName>
    <definedName name="OSRRefD21_7x_3" localSheetId="62">'Div 6'!$G$85</definedName>
    <definedName name="OSRRefD21_7x_3" localSheetId="2">Summary!$G$193</definedName>
    <definedName name="OSRRefD21_7x_4" localSheetId="41">'201'!$H$50</definedName>
    <definedName name="OSRRefD21_7x_4" localSheetId="42">'202'!$H$51:$H$53</definedName>
    <definedName name="OSRRefD21_7x_4" localSheetId="43">'203'!$H$51</definedName>
    <definedName name="OSRRefD21_7x_4" localSheetId="44">'204'!$H$53</definedName>
    <definedName name="OSRRefD21_7x_4" localSheetId="45">'205'!$H$52</definedName>
    <definedName name="OSRRefD21_7x_4" localSheetId="48">'300'!$H$158</definedName>
    <definedName name="OSRRefD21_7x_4" localSheetId="49">'300 &amp; 317'!$H$182</definedName>
    <definedName name="OSRRefD21_7x_4" localSheetId="50">'301'!$H$54</definedName>
    <definedName name="OSRRefD21_7x_4" localSheetId="51">'306'!$H$50</definedName>
    <definedName name="OSRRefD21_7x_4" localSheetId="53">'307'!$H$70</definedName>
    <definedName name="OSRRefD21_7x_4" localSheetId="54">'308'!$H$92:$H$93</definedName>
    <definedName name="OSRRefD21_7x_4" localSheetId="65">'309'!$H$51:$H$52</definedName>
    <definedName name="OSRRefD21_7x_4" localSheetId="64">'310'!$H$61</definedName>
    <definedName name="OSRRefD21_7x_4" localSheetId="72">'310 &amp; 491'!$H$68</definedName>
    <definedName name="OSRRefD21_7x_4" localSheetId="55">'311'!$H$91:$H$92</definedName>
    <definedName name="OSRRefD21_7x_4" localSheetId="58">'315'!$H$112:$H$113</definedName>
    <definedName name="OSRRefD21_7x_4" localSheetId="61">'316'!$H$63:$H$65</definedName>
    <definedName name="OSRRefD21_7x_4" localSheetId="63">'317'!$H$85</definedName>
    <definedName name="OSRRefD21_7x_4" localSheetId="67">'321'!$H$55</definedName>
    <definedName name="OSRRefD21_7x_4" localSheetId="68">'322'!$H$53:$H$54</definedName>
    <definedName name="OSRRefD21_7x_4" localSheetId="69">'325'!$H$52</definedName>
    <definedName name="OSRRefD21_7x_4" localSheetId="59">'326'!$H$78</definedName>
    <definedName name="OSRRefD21_7x_4" localSheetId="52">'330'!$H$74</definedName>
    <definedName name="OSRRefD21_7x_4" localSheetId="57">'331'!$H$113:$H$114</definedName>
    <definedName name="OSRRefD21_7x_4" localSheetId="60">'332'!$H$65:$H$67</definedName>
    <definedName name="OSRRefD21_7x_4" localSheetId="74">'405'!$H$54</definedName>
    <definedName name="OSRRefD21_7x_4" localSheetId="76">'411'!$H$51</definedName>
    <definedName name="OSRRefD21_7x_4" localSheetId="77">'412'!$H$52</definedName>
    <definedName name="OSRRefD21_7x_4" localSheetId="78">'413'!$H$54:$H$55</definedName>
    <definedName name="OSRRefD21_7x_4" localSheetId="79">'414'!$H$55</definedName>
    <definedName name="OSRRefD21_7x_4" localSheetId="80">'415'!$H$58</definedName>
    <definedName name="OSRRefD21_7x_4" localSheetId="81">'418'!$H$54</definedName>
    <definedName name="OSRRefD21_7x_4" localSheetId="88">'430'!$H$53</definedName>
    <definedName name="OSRRefD21_7x_4" localSheetId="89">'433'!$H$58</definedName>
    <definedName name="OSRRefD21_7x_4" localSheetId="91">'444'!$H$58</definedName>
    <definedName name="OSRRefD21_7x_4" localSheetId="92">'450'!$H$54</definedName>
    <definedName name="OSRRefD21_7x_4" localSheetId="73">'491'!$H$62</definedName>
    <definedName name="OSRRefD21_7x_4" localSheetId="87">'492'!$H$58</definedName>
    <definedName name="OSRRefD21_7x_4" localSheetId="94">'501'!$H$54</definedName>
    <definedName name="OSRRefD21_7x_4" localSheetId="39">'Div 2'!$H$52</definedName>
    <definedName name="OSRRefD21_7x_4" localSheetId="47">'Div 3'!$H$162</definedName>
    <definedName name="OSRRefD21_7x_4" localSheetId="71">'Div 4'!$H$65</definedName>
    <definedName name="OSRRefD21_7x_4" localSheetId="93">'Div 5'!$H$54</definedName>
    <definedName name="OSRRefD21_7x_4" localSheetId="62">'Div 6'!$H$85</definedName>
    <definedName name="OSRRefD21_7x_4" localSheetId="2">Summary!$H$193</definedName>
    <definedName name="OSRRefD21_7x_5" localSheetId="41">'201'!$I$50</definedName>
    <definedName name="OSRRefD21_7x_5" localSheetId="42">'202'!$I$51:$I$53</definedName>
    <definedName name="OSRRefD21_7x_5" localSheetId="43">'203'!$I$51</definedName>
    <definedName name="OSRRefD21_7x_5" localSheetId="44">'204'!$I$53</definedName>
    <definedName name="OSRRefD21_7x_5" localSheetId="45">'205'!$I$52</definedName>
    <definedName name="OSRRefD21_7x_5" localSheetId="48">'300'!$I$158</definedName>
    <definedName name="OSRRefD21_7x_5" localSheetId="49">'300 &amp; 317'!$I$182</definedName>
    <definedName name="OSRRefD21_7x_5" localSheetId="50">'301'!$I$54</definedName>
    <definedName name="OSRRefD21_7x_5" localSheetId="51">'306'!$I$50</definedName>
    <definedName name="OSRRefD21_7x_5" localSheetId="53">'307'!$I$70</definedName>
    <definedName name="OSRRefD21_7x_5" localSheetId="54">'308'!$I$92:$I$93</definedName>
    <definedName name="OSRRefD21_7x_5" localSheetId="65">'309'!$I$51:$I$52</definedName>
    <definedName name="OSRRefD21_7x_5" localSheetId="64">'310'!$I$61</definedName>
    <definedName name="OSRRefD21_7x_5" localSheetId="72">'310 &amp; 491'!$I$68</definedName>
    <definedName name="OSRRefD21_7x_5" localSheetId="55">'311'!$I$91:$I$92</definedName>
    <definedName name="OSRRefD21_7x_5" localSheetId="58">'315'!$I$112:$I$113</definedName>
    <definedName name="OSRRefD21_7x_5" localSheetId="61">'316'!$I$63:$I$65</definedName>
    <definedName name="OSRRefD21_7x_5" localSheetId="63">'317'!$I$85</definedName>
    <definedName name="OSRRefD21_7x_5" localSheetId="67">'321'!$I$55</definedName>
    <definedName name="OSRRefD21_7x_5" localSheetId="68">'322'!$I$53:$I$54</definedName>
    <definedName name="OSRRefD21_7x_5" localSheetId="69">'325'!$I$52</definedName>
    <definedName name="OSRRefD21_7x_5" localSheetId="59">'326'!$I$78</definedName>
    <definedName name="OSRRefD21_7x_5" localSheetId="52">'330'!$I$74</definedName>
    <definedName name="OSRRefD21_7x_5" localSheetId="57">'331'!$I$113:$I$114</definedName>
    <definedName name="OSRRefD21_7x_5" localSheetId="60">'332'!$I$65:$I$67</definedName>
    <definedName name="OSRRefD21_7x_5" localSheetId="74">'405'!$I$54</definedName>
    <definedName name="OSRRefD21_7x_5" localSheetId="76">'411'!$I$51</definedName>
    <definedName name="OSRRefD21_7x_5" localSheetId="77">'412'!$I$52</definedName>
    <definedName name="OSRRefD21_7x_5" localSheetId="78">'413'!$I$54:$I$55</definedName>
    <definedName name="OSRRefD21_7x_5" localSheetId="79">'414'!$I$55</definedName>
    <definedName name="OSRRefD21_7x_5" localSheetId="80">'415'!$I$58</definedName>
    <definedName name="OSRRefD21_7x_5" localSheetId="81">'418'!$I$54</definedName>
    <definedName name="OSRRefD21_7x_5" localSheetId="88">'430'!$I$53</definedName>
    <definedName name="OSRRefD21_7x_5" localSheetId="89">'433'!$I$58</definedName>
    <definedName name="OSRRefD21_7x_5" localSheetId="91">'444'!$I$58</definedName>
    <definedName name="OSRRefD21_7x_5" localSheetId="92">'450'!$I$54</definedName>
    <definedName name="OSRRefD21_7x_5" localSheetId="73">'491'!$I$62</definedName>
    <definedName name="OSRRefD21_7x_5" localSheetId="87">'492'!$I$58</definedName>
    <definedName name="OSRRefD21_7x_5" localSheetId="94">'501'!$I$54</definedName>
    <definedName name="OSRRefD21_7x_5" localSheetId="39">'Div 2'!$I$52</definedName>
    <definedName name="OSRRefD21_7x_5" localSheetId="47">'Div 3'!$I$162</definedName>
    <definedName name="OSRRefD21_7x_5" localSheetId="71">'Div 4'!$I$65</definedName>
    <definedName name="OSRRefD21_7x_5" localSheetId="93">'Div 5'!$I$54</definedName>
    <definedName name="OSRRefD21_7x_5" localSheetId="62">'Div 6'!$I$85</definedName>
    <definedName name="OSRRefD21_7x_5" localSheetId="2">Summary!$I$193</definedName>
    <definedName name="OSRRefD21_7x_6" localSheetId="41">'201'!$J$50</definedName>
    <definedName name="OSRRefD21_7x_6" localSheetId="42">'202'!$J$51:$J$53</definedName>
    <definedName name="OSRRefD21_7x_6" localSheetId="43">'203'!$J$51</definedName>
    <definedName name="OSRRefD21_7x_6" localSheetId="44">'204'!$J$53</definedName>
    <definedName name="OSRRefD21_7x_6" localSheetId="45">'205'!$J$52</definedName>
    <definedName name="OSRRefD21_7x_6" localSheetId="48">'300'!$J$158</definedName>
    <definedName name="OSRRefD21_7x_6" localSheetId="49">'300 &amp; 317'!$J$182</definedName>
    <definedName name="OSRRefD21_7x_6" localSheetId="50">'301'!$J$54</definedName>
    <definedName name="OSRRefD21_7x_6" localSheetId="51">'306'!$J$50</definedName>
    <definedName name="OSRRefD21_7x_6" localSheetId="53">'307'!$J$70</definedName>
    <definedName name="OSRRefD21_7x_6" localSheetId="54">'308'!$J$92:$J$93</definedName>
    <definedName name="OSRRefD21_7x_6" localSheetId="65">'309'!$J$51:$J$52</definedName>
    <definedName name="OSRRefD21_7x_6" localSheetId="64">'310'!$J$61</definedName>
    <definedName name="OSRRefD21_7x_6" localSheetId="72">'310 &amp; 491'!$J$68</definedName>
    <definedName name="OSRRefD21_7x_6" localSheetId="55">'311'!$J$91:$J$92</definedName>
    <definedName name="OSRRefD21_7x_6" localSheetId="58">'315'!$J$112:$J$113</definedName>
    <definedName name="OSRRefD21_7x_6" localSheetId="61">'316'!$J$63:$J$65</definedName>
    <definedName name="OSRRefD21_7x_6" localSheetId="63">'317'!$J$85</definedName>
    <definedName name="OSRRefD21_7x_6" localSheetId="67">'321'!$J$55</definedName>
    <definedName name="OSRRefD21_7x_6" localSheetId="68">'322'!$J$53:$J$54</definedName>
    <definedName name="OSRRefD21_7x_6" localSheetId="69">'325'!$J$52</definedName>
    <definedName name="OSRRefD21_7x_6" localSheetId="59">'326'!$J$78</definedName>
    <definedName name="OSRRefD21_7x_6" localSheetId="52">'330'!$J$74</definedName>
    <definedName name="OSRRefD21_7x_6" localSheetId="57">'331'!$J$113:$J$114</definedName>
    <definedName name="OSRRefD21_7x_6" localSheetId="60">'332'!$J$65:$J$67</definedName>
    <definedName name="OSRRefD21_7x_6" localSheetId="74">'405'!$J$54</definedName>
    <definedName name="OSRRefD21_7x_6" localSheetId="76">'411'!$J$51</definedName>
    <definedName name="OSRRefD21_7x_6" localSheetId="77">'412'!$J$52</definedName>
    <definedName name="OSRRefD21_7x_6" localSheetId="78">'413'!$J$54:$J$55</definedName>
    <definedName name="OSRRefD21_7x_6" localSheetId="79">'414'!$J$55</definedName>
    <definedName name="OSRRefD21_7x_6" localSheetId="80">'415'!$J$58</definedName>
    <definedName name="OSRRefD21_7x_6" localSheetId="81">'418'!$J$54</definedName>
    <definedName name="OSRRefD21_7x_6" localSheetId="88">'430'!$J$53</definedName>
    <definedName name="OSRRefD21_7x_6" localSheetId="89">'433'!$J$58</definedName>
    <definedName name="OSRRefD21_7x_6" localSheetId="91">'444'!$J$58</definedName>
    <definedName name="OSRRefD21_7x_6" localSheetId="92">'450'!$J$54</definedName>
    <definedName name="OSRRefD21_7x_6" localSheetId="73">'491'!$J$62</definedName>
    <definedName name="OSRRefD21_7x_6" localSheetId="87">'492'!$J$58</definedName>
    <definedName name="OSRRefD21_7x_6" localSheetId="94">'501'!$J$54</definedName>
    <definedName name="OSRRefD21_7x_6" localSheetId="39">'Div 2'!$J$52</definedName>
    <definedName name="OSRRefD21_7x_6" localSheetId="47">'Div 3'!$J$162</definedName>
    <definedName name="OSRRefD21_7x_6" localSheetId="71">'Div 4'!$J$65</definedName>
    <definedName name="OSRRefD21_7x_6" localSheetId="93">'Div 5'!$J$54</definedName>
    <definedName name="OSRRefD21_7x_6" localSheetId="62">'Div 6'!$J$85</definedName>
    <definedName name="OSRRefD21_7x_6" localSheetId="2">Summary!$J$193</definedName>
    <definedName name="OSRRefD21_7x_7" localSheetId="41">'201'!$K$50</definedName>
    <definedName name="OSRRefD21_7x_7" localSheetId="42">'202'!$K$51:$K$53</definedName>
    <definedName name="OSRRefD21_7x_7" localSheetId="43">'203'!$K$51</definedName>
    <definedName name="OSRRefD21_7x_7" localSheetId="44">'204'!$K$53</definedName>
    <definedName name="OSRRefD21_7x_7" localSheetId="45">'205'!$K$52</definedName>
    <definedName name="OSRRefD21_7x_7" localSheetId="48">'300'!$K$158</definedName>
    <definedName name="OSRRefD21_7x_7" localSheetId="49">'300 &amp; 317'!$K$182</definedName>
    <definedName name="OSRRefD21_7x_7" localSheetId="50">'301'!$K$54</definedName>
    <definedName name="OSRRefD21_7x_7" localSheetId="51">'306'!$K$50</definedName>
    <definedName name="OSRRefD21_7x_7" localSheetId="53">'307'!$K$70</definedName>
    <definedName name="OSRRefD21_7x_7" localSheetId="54">'308'!$K$92:$K$93</definedName>
    <definedName name="OSRRefD21_7x_7" localSheetId="65">'309'!$K$51:$K$52</definedName>
    <definedName name="OSRRefD21_7x_7" localSheetId="64">'310'!$K$61</definedName>
    <definedName name="OSRRefD21_7x_7" localSheetId="72">'310 &amp; 491'!$K$68</definedName>
    <definedName name="OSRRefD21_7x_7" localSheetId="55">'311'!$K$91:$K$92</definedName>
    <definedName name="OSRRefD21_7x_7" localSheetId="58">'315'!$K$112:$K$113</definedName>
    <definedName name="OSRRefD21_7x_7" localSheetId="61">'316'!$K$63:$K$65</definedName>
    <definedName name="OSRRefD21_7x_7" localSheetId="63">'317'!$K$85</definedName>
    <definedName name="OSRRefD21_7x_7" localSheetId="67">'321'!$K$55</definedName>
    <definedName name="OSRRefD21_7x_7" localSheetId="68">'322'!$K$53:$K$54</definedName>
    <definedName name="OSRRefD21_7x_7" localSheetId="69">'325'!$K$52</definedName>
    <definedName name="OSRRefD21_7x_7" localSheetId="59">'326'!$K$78</definedName>
    <definedName name="OSRRefD21_7x_7" localSheetId="52">'330'!$K$74</definedName>
    <definedName name="OSRRefD21_7x_7" localSheetId="57">'331'!$K$113:$K$114</definedName>
    <definedName name="OSRRefD21_7x_7" localSheetId="60">'332'!$K$65:$K$67</definedName>
    <definedName name="OSRRefD21_7x_7" localSheetId="74">'405'!$K$54</definedName>
    <definedName name="OSRRefD21_7x_7" localSheetId="76">'411'!$K$51</definedName>
    <definedName name="OSRRefD21_7x_7" localSheetId="77">'412'!$K$52</definedName>
    <definedName name="OSRRefD21_7x_7" localSheetId="78">'413'!$K$54:$K$55</definedName>
    <definedName name="OSRRefD21_7x_7" localSheetId="79">'414'!$K$55</definedName>
    <definedName name="OSRRefD21_7x_7" localSheetId="80">'415'!$K$58</definedName>
    <definedName name="OSRRefD21_7x_7" localSheetId="81">'418'!$K$54</definedName>
    <definedName name="OSRRefD21_7x_7" localSheetId="88">'430'!$K$53</definedName>
    <definedName name="OSRRefD21_7x_7" localSheetId="89">'433'!$K$58</definedName>
    <definedName name="OSRRefD21_7x_7" localSheetId="91">'444'!$K$58</definedName>
    <definedName name="OSRRefD21_7x_7" localSheetId="92">'450'!$K$54</definedName>
    <definedName name="OSRRefD21_7x_7" localSheetId="73">'491'!$K$62</definedName>
    <definedName name="OSRRefD21_7x_7" localSheetId="87">'492'!$K$58</definedName>
    <definedName name="OSRRefD21_7x_7" localSheetId="94">'501'!$K$54</definedName>
    <definedName name="OSRRefD21_7x_7" localSheetId="39">'Div 2'!$K$52</definedName>
    <definedName name="OSRRefD21_7x_7" localSheetId="47">'Div 3'!$K$162</definedName>
    <definedName name="OSRRefD21_7x_7" localSheetId="71">'Div 4'!$K$65</definedName>
    <definedName name="OSRRefD21_7x_7" localSheetId="93">'Div 5'!$K$54</definedName>
    <definedName name="OSRRefD21_7x_7" localSheetId="62">'Div 6'!$K$85</definedName>
    <definedName name="OSRRefD21_7x_7" localSheetId="2">Summary!$K$193</definedName>
    <definedName name="OSRRefD21_7x_8" localSheetId="41">'201'!$L$50</definedName>
    <definedName name="OSRRefD21_7x_8" localSheetId="42">'202'!$L$51:$L$53</definedName>
    <definedName name="OSRRefD21_7x_8" localSheetId="43">'203'!$L$51</definedName>
    <definedName name="OSRRefD21_7x_8" localSheetId="44">'204'!$L$53</definedName>
    <definedName name="OSRRefD21_7x_8" localSheetId="45">'205'!$L$52</definedName>
    <definedName name="OSRRefD21_7x_8" localSheetId="48">'300'!$L$158</definedName>
    <definedName name="OSRRefD21_7x_8" localSheetId="49">'300 &amp; 317'!$L$182</definedName>
    <definedName name="OSRRefD21_7x_8" localSheetId="50">'301'!$L$54</definedName>
    <definedName name="OSRRefD21_7x_8" localSheetId="51">'306'!$L$50</definedName>
    <definedName name="OSRRefD21_7x_8" localSheetId="53">'307'!$L$70</definedName>
    <definedName name="OSRRefD21_7x_8" localSheetId="54">'308'!$L$92:$L$93</definedName>
    <definedName name="OSRRefD21_7x_8" localSheetId="65">'309'!$L$51:$L$52</definedName>
    <definedName name="OSRRefD21_7x_8" localSheetId="64">'310'!$L$61</definedName>
    <definedName name="OSRRefD21_7x_8" localSheetId="72">'310 &amp; 491'!$L$68</definedName>
    <definedName name="OSRRefD21_7x_8" localSheetId="55">'311'!$L$91:$L$92</definedName>
    <definedName name="OSRRefD21_7x_8" localSheetId="58">'315'!$L$112:$L$113</definedName>
    <definedName name="OSRRefD21_7x_8" localSheetId="61">'316'!$L$63:$L$65</definedName>
    <definedName name="OSRRefD21_7x_8" localSheetId="63">'317'!$L$85</definedName>
    <definedName name="OSRRefD21_7x_8" localSheetId="67">'321'!$L$55</definedName>
    <definedName name="OSRRefD21_7x_8" localSheetId="68">'322'!$L$53:$L$54</definedName>
    <definedName name="OSRRefD21_7x_8" localSheetId="69">'325'!$L$52</definedName>
    <definedName name="OSRRefD21_7x_8" localSheetId="59">'326'!$L$78</definedName>
    <definedName name="OSRRefD21_7x_8" localSheetId="52">'330'!$L$74</definedName>
    <definedName name="OSRRefD21_7x_8" localSheetId="57">'331'!$L$113:$L$114</definedName>
    <definedName name="OSRRefD21_7x_8" localSheetId="60">'332'!$L$65:$L$67</definedName>
    <definedName name="OSRRefD21_7x_8" localSheetId="74">'405'!$L$54</definedName>
    <definedName name="OSRRefD21_7x_8" localSheetId="76">'411'!$L$51</definedName>
    <definedName name="OSRRefD21_7x_8" localSheetId="77">'412'!$L$52</definedName>
    <definedName name="OSRRefD21_7x_8" localSheetId="78">'413'!$L$54:$L$55</definedName>
    <definedName name="OSRRefD21_7x_8" localSheetId="79">'414'!$L$55</definedName>
    <definedName name="OSRRefD21_7x_8" localSheetId="80">'415'!$L$58</definedName>
    <definedName name="OSRRefD21_7x_8" localSheetId="81">'418'!$L$54</definedName>
    <definedName name="OSRRefD21_7x_8" localSheetId="88">'430'!$L$53</definedName>
    <definedName name="OSRRefD21_7x_8" localSheetId="89">'433'!$L$58</definedName>
    <definedName name="OSRRefD21_7x_8" localSheetId="91">'444'!$L$58</definedName>
    <definedName name="OSRRefD21_7x_8" localSheetId="92">'450'!$L$54</definedName>
    <definedName name="OSRRefD21_7x_8" localSheetId="73">'491'!$L$62</definedName>
    <definedName name="OSRRefD21_7x_8" localSheetId="87">'492'!$L$58</definedName>
    <definedName name="OSRRefD21_7x_8" localSheetId="94">'501'!$L$54</definedName>
    <definedName name="OSRRefD21_7x_8" localSheetId="39">'Div 2'!$L$52</definedName>
    <definedName name="OSRRefD21_7x_8" localSheetId="47">'Div 3'!$L$162</definedName>
    <definedName name="OSRRefD21_7x_8" localSheetId="71">'Div 4'!$L$65</definedName>
    <definedName name="OSRRefD21_7x_8" localSheetId="93">'Div 5'!$L$54</definedName>
    <definedName name="OSRRefD21_7x_8" localSheetId="62">'Div 6'!$L$85</definedName>
    <definedName name="OSRRefD21_7x_8" localSheetId="2">Summary!$L$193</definedName>
    <definedName name="OSRRefD21_7x_9" localSheetId="41">'201'!$M$50</definedName>
    <definedName name="OSRRefD21_7x_9" localSheetId="42">'202'!$M$51:$M$53</definedName>
    <definedName name="OSRRefD21_7x_9" localSheetId="43">'203'!$M$51</definedName>
    <definedName name="OSRRefD21_7x_9" localSheetId="44">'204'!$M$53</definedName>
    <definedName name="OSRRefD21_7x_9" localSheetId="45">'205'!$M$52</definedName>
    <definedName name="OSRRefD21_7x_9" localSheetId="48">'300'!$M$158</definedName>
    <definedName name="OSRRefD21_7x_9" localSheetId="49">'300 &amp; 317'!$M$182</definedName>
    <definedName name="OSRRefD21_7x_9" localSheetId="50">'301'!$M$54</definedName>
    <definedName name="OSRRefD21_7x_9" localSheetId="51">'306'!$M$50</definedName>
    <definedName name="OSRRefD21_7x_9" localSheetId="53">'307'!$M$70</definedName>
    <definedName name="OSRRefD21_7x_9" localSheetId="54">'308'!$M$92:$M$93</definedName>
    <definedName name="OSRRefD21_7x_9" localSheetId="65">'309'!$M$51:$M$52</definedName>
    <definedName name="OSRRefD21_7x_9" localSheetId="64">'310'!$M$61</definedName>
    <definedName name="OSRRefD21_7x_9" localSheetId="72">'310 &amp; 491'!$M$68</definedName>
    <definedName name="OSRRefD21_7x_9" localSheetId="55">'311'!$M$91:$M$92</definedName>
    <definedName name="OSRRefD21_7x_9" localSheetId="58">'315'!$M$112:$M$113</definedName>
    <definedName name="OSRRefD21_7x_9" localSheetId="61">'316'!$M$63:$M$65</definedName>
    <definedName name="OSRRefD21_7x_9" localSheetId="63">'317'!$M$85</definedName>
    <definedName name="OSRRefD21_7x_9" localSheetId="67">'321'!$M$55</definedName>
    <definedName name="OSRRefD21_7x_9" localSheetId="68">'322'!$M$53:$M$54</definedName>
    <definedName name="OSRRefD21_7x_9" localSheetId="69">'325'!$M$52</definedName>
    <definedName name="OSRRefD21_7x_9" localSheetId="59">'326'!$M$78</definedName>
    <definedName name="OSRRefD21_7x_9" localSheetId="52">'330'!$M$74</definedName>
    <definedName name="OSRRefD21_7x_9" localSheetId="57">'331'!$M$113:$M$114</definedName>
    <definedName name="OSRRefD21_7x_9" localSheetId="60">'332'!$M$65:$M$67</definedName>
    <definedName name="OSRRefD21_7x_9" localSheetId="74">'405'!$M$54</definedName>
    <definedName name="OSRRefD21_7x_9" localSheetId="76">'411'!$M$51</definedName>
    <definedName name="OSRRefD21_7x_9" localSheetId="77">'412'!$M$52</definedName>
    <definedName name="OSRRefD21_7x_9" localSheetId="78">'413'!$M$54:$M$55</definedName>
    <definedName name="OSRRefD21_7x_9" localSheetId="79">'414'!$M$55</definedName>
    <definedName name="OSRRefD21_7x_9" localSheetId="80">'415'!$M$58</definedName>
    <definedName name="OSRRefD21_7x_9" localSheetId="81">'418'!$M$54</definedName>
    <definedName name="OSRRefD21_7x_9" localSheetId="88">'430'!$M$53</definedName>
    <definedName name="OSRRefD21_7x_9" localSheetId="89">'433'!$M$58</definedName>
    <definedName name="OSRRefD21_7x_9" localSheetId="91">'444'!$M$58</definedName>
    <definedName name="OSRRefD21_7x_9" localSheetId="92">'450'!$M$54</definedName>
    <definedName name="OSRRefD21_7x_9" localSheetId="73">'491'!$M$62</definedName>
    <definedName name="OSRRefD21_7x_9" localSheetId="87">'492'!$M$58</definedName>
    <definedName name="OSRRefD21_7x_9" localSheetId="94">'501'!$M$54</definedName>
    <definedName name="OSRRefD21_7x_9" localSheetId="39">'Div 2'!$M$52</definedName>
    <definedName name="OSRRefD21_7x_9" localSheetId="47">'Div 3'!$M$162</definedName>
    <definedName name="OSRRefD21_7x_9" localSheetId="71">'Div 4'!$M$65</definedName>
    <definedName name="OSRRefD21_7x_9" localSheetId="93">'Div 5'!$M$54</definedName>
    <definedName name="OSRRefD21_7x_9" localSheetId="62">'Div 6'!$M$85</definedName>
    <definedName name="OSRRefD21_7x_9" localSheetId="2">Summary!$M$193</definedName>
    <definedName name="OSRRefD21_8_0x" localSheetId="41">'201'!$D$52:$M$52</definedName>
    <definedName name="OSRRefD21_8_0x" localSheetId="42">'202'!$D$55:$M$55</definedName>
    <definedName name="OSRRefD21_8_0x" localSheetId="43">'203'!$D$53:$M$53</definedName>
    <definedName name="OSRRefD21_8_0x" localSheetId="44">'204'!$D$55:$M$55</definedName>
    <definedName name="OSRRefD21_8_0x" localSheetId="48">'300'!$D$160:$M$160</definedName>
    <definedName name="OSRRefD21_8_0x" localSheetId="49">'300 &amp; 317'!$D$184:$M$184</definedName>
    <definedName name="OSRRefD21_8_0x" localSheetId="50">'301'!$D$56:$M$56</definedName>
    <definedName name="OSRRefD21_8_0x" localSheetId="51">'306'!$D$52:$M$52</definedName>
    <definedName name="OSRRefD21_8_0x" localSheetId="53">'307'!$D$72:$M$72</definedName>
    <definedName name="OSRRefD21_8_0x" localSheetId="54">'308'!$D$95:$M$95</definedName>
    <definedName name="OSRRefD21_8_0x" localSheetId="65">'309'!$D$54:$M$54</definedName>
    <definedName name="OSRRefD21_8_0x" localSheetId="64">'310'!$D$63:$M$63</definedName>
    <definedName name="OSRRefD21_8_0x" localSheetId="72">'310 &amp; 491'!$D$70:$M$70</definedName>
    <definedName name="OSRRefD21_8_0x" localSheetId="55">'311'!$D$94:$M$94</definedName>
    <definedName name="OSRRefD21_8_0x" localSheetId="58">'315'!$D$115:$M$115</definedName>
    <definedName name="OSRRefD21_8_0x" localSheetId="61">'316'!$D$67:$M$67</definedName>
    <definedName name="OSRRefD21_8_0x" localSheetId="63">'317'!$D$87:$M$87</definedName>
    <definedName name="OSRRefD21_8_0x" localSheetId="67">'321'!$D$57:$M$57</definedName>
    <definedName name="OSRRefD21_8_0x" localSheetId="68">'322'!$D$56:$M$56</definedName>
    <definedName name="OSRRefD21_8_0x" localSheetId="69">'325'!$D$54:$M$54</definedName>
    <definedName name="OSRRefD21_8_0x" localSheetId="59">'326'!$D$80:$M$80</definedName>
    <definedName name="OSRRefD21_8_0x" localSheetId="52">'330'!$D$76:$M$76</definedName>
    <definedName name="OSRRefD21_8_0x" localSheetId="57">'331'!$D$116:$M$116</definedName>
    <definedName name="OSRRefD21_8_0x" localSheetId="60">'332'!$D$69:$M$69</definedName>
    <definedName name="OSRRefD21_8_0x" localSheetId="74">'405'!$D$56:$M$56</definedName>
    <definedName name="OSRRefD21_8_0x" localSheetId="76">'411'!$D$53:$M$53</definedName>
    <definedName name="OSRRefD21_8_0x" localSheetId="77">'412'!$D$54:$M$54</definedName>
    <definedName name="OSRRefD21_8_0x" localSheetId="78">'413'!$D$57:$M$57</definedName>
    <definedName name="OSRRefD21_8_0x" localSheetId="79">'414'!$D$57:$M$57</definedName>
    <definedName name="OSRRefD21_8_0x" localSheetId="80">'415'!$D$60:$M$60</definedName>
    <definedName name="OSRRefD21_8_0x" localSheetId="81">'418'!$D$56:$M$56</definedName>
    <definedName name="OSRRefD21_8_0x" localSheetId="89">'433'!$D$60:$M$60</definedName>
    <definedName name="OSRRefD21_8_0x" localSheetId="91">'444'!$D$60:$M$60</definedName>
    <definedName name="OSRRefD21_8_0x" localSheetId="92">'450'!$D$56:$M$56</definedName>
    <definedName name="OSRRefD21_8_0x" localSheetId="73">'491'!$D$64:$M$64</definedName>
    <definedName name="OSRRefD21_8_0x" localSheetId="87">'492'!$D$60:$M$60</definedName>
    <definedName name="OSRRefD21_8_0x" localSheetId="94">'501'!$D$56:$M$56</definedName>
    <definedName name="OSRRefD21_8_0x" localSheetId="39">'Div 2'!$D$54:$M$54</definedName>
    <definedName name="OSRRefD21_8_0x" localSheetId="47">'Div 3'!$D$164:$M$164</definedName>
    <definedName name="OSRRefD21_8_0x" localSheetId="71">'Div 4'!$D$67:$M$67</definedName>
    <definedName name="OSRRefD21_8_0x" localSheetId="93">'Div 5'!$D$56:$M$56</definedName>
    <definedName name="OSRRefD21_8_0x" localSheetId="62">'Div 6'!$D$87:$M$87</definedName>
    <definedName name="OSRRefD21_8_0x" localSheetId="2">Summary!$D$195:$M$195</definedName>
    <definedName name="OSRRefD21_8_1x" localSheetId="43">'203'!$D$54:$M$54</definedName>
    <definedName name="OSRRefD21_8_1x" localSheetId="44">'204'!$D$56:$M$56</definedName>
    <definedName name="OSRRefD21_8_1x" localSheetId="53">'307'!$D$73:$M$73</definedName>
    <definedName name="OSRRefD21_8_1x" localSheetId="65">'309'!$D$55:$M$55</definedName>
    <definedName name="OSRRefD21_8_1x" localSheetId="72">'310 &amp; 491'!$D$71:$M$71</definedName>
    <definedName name="OSRRefD21_8_1x" localSheetId="67">'321'!$D$58:$M$58</definedName>
    <definedName name="OSRRefD21_8_1x" localSheetId="68">'322'!$D$57:$M$57</definedName>
    <definedName name="OSRRefD21_8_1x" localSheetId="52">'330'!$D$77:$M$77</definedName>
    <definedName name="OSRRefD21_8_1x" localSheetId="77">'412'!$D$55:$M$55</definedName>
    <definedName name="OSRRefD21_8_1x" localSheetId="78">'413'!$D$58:$M$58</definedName>
    <definedName name="OSRRefD21_8_1x" localSheetId="79">'414'!$D$58:$M$58</definedName>
    <definedName name="OSRRefD21_8_1x" localSheetId="81">'418'!$D$57:$M$57</definedName>
    <definedName name="OSRRefD21_8_2x" localSheetId="43">'203'!$D$55:$M$55</definedName>
    <definedName name="OSRRefD21_8_2x" localSheetId="68">'322'!$D$58:$M$58</definedName>
    <definedName name="OSRRefD21_8x_0" localSheetId="41">'201'!$D$52</definedName>
    <definedName name="OSRRefD21_8x_0" localSheetId="42">'202'!$D$55</definedName>
    <definedName name="OSRRefD21_8x_0" localSheetId="43">'203'!$D$53:$D$55</definedName>
    <definedName name="OSRRefD21_8x_0" localSheetId="44">'204'!$D$55:$D$56</definedName>
    <definedName name="OSRRefD21_8x_0" localSheetId="48">'300'!$D$160</definedName>
    <definedName name="OSRRefD21_8x_0" localSheetId="49">'300 &amp; 317'!$D$184</definedName>
    <definedName name="OSRRefD21_8x_0" localSheetId="50">'301'!$D$56</definedName>
    <definedName name="OSRRefD21_8x_0" localSheetId="51">'306'!$D$52</definedName>
    <definedName name="OSRRefD21_8x_0" localSheetId="53">'307'!$D$72:$D$73</definedName>
    <definedName name="OSRRefD21_8x_0" localSheetId="54">'308'!$D$95</definedName>
    <definedName name="OSRRefD21_8x_0" localSheetId="65">'309'!$D$54:$D$55</definedName>
    <definedName name="OSRRefD21_8x_0" localSheetId="64">'310'!$D$63</definedName>
    <definedName name="OSRRefD21_8x_0" localSheetId="72">'310 &amp; 491'!$D$70:$D$71</definedName>
    <definedName name="OSRRefD21_8x_0" localSheetId="55">'311'!$D$94</definedName>
    <definedName name="OSRRefD21_8x_0" localSheetId="58">'315'!$D$115</definedName>
    <definedName name="OSRRefD21_8x_0" localSheetId="61">'316'!$D$67</definedName>
    <definedName name="OSRRefD21_8x_0" localSheetId="63">'317'!$D$87</definedName>
    <definedName name="OSRRefD21_8x_0" localSheetId="67">'321'!$D$57:$D$58</definedName>
    <definedName name="OSRRefD21_8x_0" localSheetId="68">'322'!$D$56:$D$58</definedName>
    <definedName name="OSRRefD21_8x_0" localSheetId="69">'325'!$D$54</definedName>
    <definedName name="OSRRefD21_8x_0" localSheetId="59">'326'!$D$80</definedName>
    <definedName name="OSRRefD21_8x_0" localSheetId="52">'330'!$D$76:$D$77</definedName>
    <definedName name="OSRRefD21_8x_0" localSheetId="57">'331'!$D$116</definedName>
    <definedName name="OSRRefD21_8x_0" localSheetId="60">'332'!$D$69</definedName>
    <definedName name="OSRRefD21_8x_0" localSheetId="74">'405'!$D$56</definedName>
    <definedName name="OSRRefD21_8x_0" localSheetId="76">'411'!$D$53</definedName>
    <definedName name="OSRRefD21_8x_0" localSheetId="77">'412'!$D$54:$D$55</definedName>
    <definedName name="OSRRefD21_8x_0" localSheetId="78">'413'!$D$57:$D$58</definedName>
    <definedName name="OSRRefD21_8x_0" localSheetId="79">'414'!$D$57:$D$58</definedName>
    <definedName name="OSRRefD21_8x_0" localSheetId="80">'415'!$D$60</definedName>
    <definedName name="OSRRefD21_8x_0" localSheetId="81">'418'!$D$56:$D$57</definedName>
    <definedName name="OSRRefD21_8x_0" localSheetId="89">'433'!$D$60</definedName>
    <definedName name="OSRRefD21_8x_0" localSheetId="91">'444'!$D$60</definedName>
    <definedName name="OSRRefD21_8x_0" localSheetId="92">'450'!$D$56</definedName>
    <definedName name="OSRRefD21_8x_0" localSheetId="73">'491'!$D$64</definedName>
    <definedName name="OSRRefD21_8x_0" localSheetId="87">'492'!$D$60</definedName>
    <definedName name="OSRRefD21_8x_0" localSheetId="94">'501'!$D$56</definedName>
    <definedName name="OSRRefD21_8x_0" localSheetId="39">'Div 2'!$D$54</definedName>
    <definedName name="OSRRefD21_8x_0" localSheetId="47">'Div 3'!$D$164</definedName>
    <definedName name="OSRRefD21_8x_0" localSheetId="71">'Div 4'!$D$67</definedName>
    <definedName name="OSRRefD21_8x_0" localSheetId="93">'Div 5'!$D$56</definedName>
    <definedName name="OSRRefD21_8x_0" localSheetId="62">'Div 6'!$D$87</definedName>
    <definedName name="OSRRefD21_8x_0" localSheetId="2">Summary!$D$195</definedName>
    <definedName name="OSRRefD21_8x_1" localSheetId="41">'201'!$E$52</definedName>
    <definedName name="OSRRefD21_8x_1" localSheetId="42">'202'!$E$55</definedName>
    <definedName name="OSRRefD21_8x_1" localSheetId="43">'203'!$E$53:$E$55</definedName>
    <definedName name="OSRRefD21_8x_1" localSheetId="44">'204'!$E$55:$E$56</definedName>
    <definedName name="OSRRefD21_8x_1" localSheetId="48">'300'!$E$160</definedName>
    <definedName name="OSRRefD21_8x_1" localSheetId="49">'300 &amp; 317'!$E$184</definedName>
    <definedName name="OSRRefD21_8x_1" localSheetId="50">'301'!$E$56</definedName>
    <definedName name="OSRRefD21_8x_1" localSheetId="51">'306'!$E$52</definedName>
    <definedName name="OSRRefD21_8x_1" localSheetId="53">'307'!$E$72:$E$73</definedName>
    <definedName name="OSRRefD21_8x_1" localSheetId="54">'308'!$E$95</definedName>
    <definedName name="OSRRefD21_8x_1" localSheetId="65">'309'!$E$54:$E$55</definedName>
    <definedName name="OSRRefD21_8x_1" localSheetId="64">'310'!$E$63</definedName>
    <definedName name="OSRRefD21_8x_1" localSheetId="72">'310 &amp; 491'!$E$70:$E$71</definedName>
    <definedName name="OSRRefD21_8x_1" localSheetId="55">'311'!$E$94</definedName>
    <definedName name="OSRRefD21_8x_1" localSheetId="58">'315'!$E$115</definedName>
    <definedName name="OSRRefD21_8x_1" localSheetId="61">'316'!$E$67</definedName>
    <definedName name="OSRRefD21_8x_1" localSheetId="63">'317'!$E$87</definedName>
    <definedName name="OSRRefD21_8x_1" localSheetId="67">'321'!$E$57:$E$58</definedName>
    <definedName name="OSRRefD21_8x_1" localSheetId="68">'322'!$E$56:$E$58</definedName>
    <definedName name="OSRRefD21_8x_1" localSheetId="69">'325'!$E$54</definedName>
    <definedName name="OSRRefD21_8x_1" localSheetId="59">'326'!$E$80</definedName>
    <definedName name="OSRRefD21_8x_1" localSheetId="52">'330'!$E$76:$E$77</definedName>
    <definedName name="OSRRefD21_8x_1" localSheetId="57">'331'!$E$116</definedName>
    <definedName name="OSRRefD21_8x_1" localSheetId="60">'332'!$E$69</definedName>
    <definedName name="OSRRefD21_8x_1" localSheetId="74">'405'!$E$56</definedName>
    <definedName name="OSRRefD21_8x_1" localSheetId="76">'411'!$E$53</definedName>
    <definedName name="OSRRefD21_8x_1" localSheetId="77">'412'!$E$54:$E$55</definedName>
    <definedName name="OSRRefD21_8x_1" localSheetId="78">'413'!$E$57:$E$58</definedName>
    <definedName name="OSRRefD21_8x_1" localSheetId="79">'414'!$E$57:$E$58</definedName>
    <definedName name="OSRRefD21_8x_1" localSheetId="80">'415'!$E$60</definedName>
    <definedName name="OSRRefD21_8x_1" localSheetId="81">'418'!$E$56:$E$57</definedName>
    <definedName name="OSRRefD21_8x_1" localSheetId="89">'433'!$E$60</definedName>
    <definedName name="OSRRefD21_8x_1" localSheetId="91">'444'!$E$60</definedName>
    <definedName name="OSRRefD21_8x_1" localSheetId="92">'450'!$E$56</definedName>
    <definedName name="OSRRefD21_8x_1" localSheetId="73">'491'!$E$64</definedName>
    <definedName name="OSRRefD21_8x_1" localSheetId="87">'492'!$E$60</definedName>
    <definedName name="OSRRefD21_8x_1" localSheetId="94">'501'!$E$56</definedName>
    <definedName name="OSRRefD21_8x_1" localSheetId="39">'Div 2'!$E$54</definedName>
    <definedName name="OSRRefD21_8x_1" localSheetId="47">'Div 3'!$E$164</definedName>
    <definedName name="OSRRefD21_8x_1" localSheetId="71">'Div 4'!$E$67</definedName>
    <definedName name="OSRRefD21_8x_1" localSheetId="93">'Div 5'!$E$56</definedName>
    <definedName name="OSRRefD21_8x_1" localSheetId="62">'Div 6'!$E$87</definedName>
    <definedName name="OSRRefD21_8x_1" localSheetId="2">Summary!$E$195</definedName>
    <definedName name="OSRRefD21_8x_2" localSheetId="41">'201'!$F$52</definedName>
    <definedName name="OSRRefD21_8x_2" localSheetId="42">'202'!$F$55</definedName>
    <definedName name="OSRRefD21_8x_2" localSheetId="43">'203'!$F$53:$F$55</definedName>
    <definedName name="OSRRefD21_8x_2" localSheetId="44">'204'!$F$55:$F$56</definedName>
    <definedName name="OSRRefD21_8x_2" localSheetId="48">'300'!$F$160</definedName>
    <definedName name="OSRRefD21_8x_2" localSheetId="49">'300 &amp; 317'!$F$184</definedName>
    <definedName name="OSRRefD21_8x_2" localSheetId="50">'301'!$F$56</definedName>
    <definedName name="OSRRefD21_8x_2" localSheetId="51">'306'!$F$52</definedName>
    <definedName name="OSRRefD21_8x_2" localSheetId="53">'307'!$F$72:$F$73</definedName>
    <definedName name="OSRRefD21_8x_2" localSheetId="54">'308'!$F$95</definedName>
    <definedName name="OSRRefD21_8x_2" localSheetId="65">'309'!$F$54:$F$55</definedName>
    <definedName name="OSRRefD21_8x_2" localSheetId="64">'310'!$F$63</definedName>
    <definedName name="OSRRefD21_8x_2" localSheetId="72">'310 &amp; 491'!$F$70:$F$71</definedName>
    <definedName name="OSRRefD21_8x_2" localSheetId="55">'311'!$F$94</definedName>
    <definedName name="OSRRefD21_8x_2" localSheetId="58">'315'!$F$115</definedName>
    <definedName name="OSRRefD21_8x_2" localSheetId="61">'316'!$F$67</definedName>
    <definedName name="OSRRefD21_8x_2" localSheetId="63">'317'!$F$87</definedName>
    <definedName name="OSRRefD21_8x_2" localSheetId="67">'321'!$F$57:$F$58</definedName>
    <definedName name="OSRRefD21_8x_2" localSheetId="68">'322'!$F$56:$F$58</definedName>
    <definedName name="OSRRefD21_8x_2" localSheetId="69">'325'!$F$54</definedName>
    <definedName name="OSRRefD21_8x_2" localSheetId="59">'326'!$F$80</definedName>
    <definedName name="OSRRefD21_8x_2" localSheetId="52">'330'!$F$76:$F$77</definedName>
    <definedName name="OSRRefD21_8x_2" localSheetId="57">'331'!$F$116</definedName>
    <definedName name="OSRRefD21_8x_2" localSheetId="60">'332'!$F$69</definedName>
    <definedName name="OSRRefD21_8x_2" localSheetId="74">'405'!$F$56</definedName>
    <definedName name="OSRRefD21_8x_2" localSheetId="76">'411'!$F$53</definedName>
    <definedName name="OSRRefD21_8x_2" localSheetId="77">'412'!$F$54:$F$55</definedName>
    <definedName name="OSRRefD21_8x_2" localSheetId="78">'413'!$F$57:$F$58</definedName>
    <definedName name="OSRRefD21_8x_2" localSheetId="79">'414'!$F$57:$F$58</definedName>
    <definedName name="OSRRefD21_8x_2" localSheetId="80">'415'!$F$60</definedName>
    <definedName name="OSRRefD21_8x_2" localSheetId="81">'418'!$F$56:$F$57</definedName>
    <definedName name="OSRRefD21_8x_2" localSheetId="89">'433'!$F$60</definedName>
    <definedName name="OSRRefD21_8x_2" localSheetId="91">'444'!$F$60</definedName>
    <definedName name="OSRRefD21_8x_2" localSheetId="92">'450'!$F$56</definedName>
    <definedName name="OSRRefD21_8x_2" localSheetId="73">'491'!$F$64</definedName>
    <definedName name="OSRRefD21_8x_2" localSheetId="87">'492'!$F$60</definedName>
    <definedName name="OSRRefD21_8x_2" localSheetId="94">'501'!$F$56</definedName>
    <definedName name="OSRRefD21_8x_2" localSheetId="39">'Div 2'!$F$54</definedName>
    <definedName name="OSRRefD21_8x_2" localSheetId="47">'Div 3'!$F$164</definedName>
    <definedName name="OSRRefD21_8x_2" localSheetId="71">'Div 4'!$F$67</definedName>
    <definedName name="OSRRefD21_8x_2" localSheetId="93">'Div 5'!$F$56</definedName>
    <definedName name="OSRRefD21_8x_2" localSheetId="62">'Div 6'!$F$87</definedName>
    <definedName name="OSRRefD21_8x_2" localSheetId="2">Summary!$F$195</definedName>
    <definedName name="OSRRefD21_8x_3" localSheetId="41">'201'!$G$52</definedName>
    <definedName name="OSRRefD21_8x_3" localSheetId="42">'202'!$G$55</definedName>
    <definedName name="OSRRefD21_8x_3" localSheetId="43">'203'!$G$53:$G$55</definedName>
    <definedName name="OSRRefD21_8x_3" localSheetId="44">'204'!$G$55:$G$56</definedName>
    <definedName name="OSRRefD21_8x_3" localSheetId="48">'300'!$G$160</definedName>
    <definedName name="OSRRefD21_8x_3" localSheetId="49">'300 &amp; 317'!$G$184</definedName>
    <definedName name="OSRRefD21_8x_3" localSheetId="50">'301'!$G$56</definedName>
    <definedName name="OSRRefD21_8x_3" localSheetId="51">'306'!$G$52</definedName>
    <definedName name="OSRRefD21_8x_3" localSheetId="53">'307'!$G$72:$G$73</definedName>
    <definedName name="OSRRefD21_8x_3" localSheetId="54">'308'!$G$95</definedName>
    <definedName name="OSRRefD21_8x_3" localSheetId="65">'309'!$G$54:$G$55</definedName>
    <definedName name="OSRRefD21_8x_3" localSheetId="64">'310'!$G$63</definedName>
    <definedName name="OSRRefD21_8x_3" localSheetId="72">'310 &amp; 491'!$G$70:$G$71</definedName>
    <definedName name="OSRRefD21_8x_3" localSheetId="55">'311'!$G$94</definedName>
    <definedName name="OSRRefD21_8x_3" localSheetId="58">'315'!$G$115</definedName>
    <definedName name="OSRRefD21_8x_3" localSheetId="61">'316'!$G$67</definedName>
    <definedName name="OSRRefD21_8x_3" localSheetId="63">'317'!$G$87</definedName>
    <definedName name="OSRRefD21_8x_3" localSheetId="67">'321'!$G$57:$G$58</definedName>
    <definedName name="OSRRefD21_8x_3" localSheetId="68">'322'!$G$56:$G$58</definedName>
    <definedName name="OSRRefD21_8x_3" localSheetId="69">'325'!$G$54</definedName>
    <definedName name="OSRRefD21_8x_3" localSheetId="59">'326'!$G$80</definedName>
    <definedName name="OSRRefD21_8x_3" localSheetId="52">'330'!$G$76:$G$77</definedName>
    <definedName name="OSRRefD21_8x_3" localSheetId="57">'331'!$G$116</definedName>
    <definedName name="OSRRefD21_8x_3" localSheetId="60">'332'!$G$69</definedName>
    <definedName name="OSRRefD21_8x_3" localSheetId="74">'405'!$G$56</definedName>
    <definedName name="OSRRefD21_8x_3" localSheetId="76">'411'!$G$53</definedName>
    <definedName name="OSRRefD21_8x_3" localSheetId="77">'412'!$G$54:$G$55</definedName>
    <definedName name="OSRRefD21_8x_3" localSheetId="78">'413'!$G$57:$G$58</definedName>
    <definedName name="OSRRefD21_8x_3" localSheetId="79">'414'!$G$57:$G$58</definedName>
    <definedName name="OSRRefD21_8x_3" localSheetId="80">'415'!$G$60</definedName>
    <definedName name="OSRRefD21_8x_3" localSheetId="81">'418'!$G$56:$G$57</definedName>
    <definedName name="OSRRefD21_8x_3" localSheetId="89">'433'!$G$60</definedName>
    <definedName name="OSRRefD21_8x_3" localSheetId="91">'444'!$G$60</definedName>
    <definedName name="OSRRefD21_8x_3" localSheetId="92">'450'!$G$56</definedName>
    <definedName name="OSRRefD21_8x_3" localSheetId="73">'491'!$G$64</definedName>
    <definedName name="OSRRefD21_8x_3" localSheetId="87">'492'!$G$60</definedName>
    <definedName name="OSRRefD21_8x_3" localSheetId="94">'501'!$G$56</definedName>
    <definedName name="OSRRefD21_8x_3" localSheetId="39">'Div 2'!$G$54</definedName>
    <definedName name="OSRRefD21_8x_3" localSheetId="47">'Div 3'!$G$164</definedName>
    <definedName name="OSRRefD21_8x_3" localSheetId="71">'Div 4'!$G$67</definedName>
    <definedName name="OSRRefD21_8x_3" localSheetId="93">'Div 5'!$G$56</definedName>
    <definedName name="OSRRefD21_8x_3" localSheetId="62">'Div 6'!$G$87</definedName>
    <definedName name="OSRRefD21_8x_3" localSheetId="2">Summary!$G$195</definedName>
    <definedName name="OSRRefD21_8x_4" localSheetId="41">'201'!$H$52</definedName>
    <definedName name="OSRRefD21_8x_4" localSheetId="42">'202'!$H$55</definedName>
    <definedName name="OSRRefD21_8x_4" localSheetId="43">'203'!$H$53:$H$55</definedName>
    <definedName name="OSRRefD21_8x_4" localSheetId="44">'204'!$H$55:$H$56</definedName>
    <definedName name="OSRRefD21_8x_4" localSheetId="48">'300'!$H$160</definedName>
    <definedName name="OSRRefD21_8x_4" localSheetId="49">'300 &amp; 317'!$H$184</definedName>
    <definedName name="OSRRefD21_8x_4" localSheetId="50">'301'!$H$56</definedName>
    <definedName name="OSRRefD21_8x_4" localSheetId="51">'306'!$H$52</definedName>
    <definedName name="OSRRefD21_8x_4" localSheetId="53">'307'!$H$72:$H$73</definedName>
    <definedName name="OSRRefD21_8x_4" localSheetId="54">'308'!$H$95</definedName>
    <definedName name="OSRRefD21_8x_4" localSheetId="65">'309'!$H$54:$H$55</definedName>
    <definedName name="OSRRefD21_8x_4" localSheetId="64">'310'!$H$63</definedName>
    <definedName name="OSRRefD21_8x_4" localSheetId="72">'310 &amp; 491'!$H$70:$H$71</definedName>
    <definedName name="OSRRefD21_8x_4" localSheetId="55">'311'!$H$94</definedName>
    <definedName name="OSRRefD21_8x_4" localSheetId="58">'315'!$H$115</definedName>
    <definedName name="OSRRefD21_8x_4" localSheetId="61">'316'!$H$67</definedName>
    <definedName name="OSRRefD21_8x_4" localSheetId="63">'317'!$H$87</definedName>
    <definedName name="OSRRefD21_8x_4" localSheetId="67">'321'!$H$57:$H$58</definedName>
    <definedName name="OSRRefD21_8x_4" localSheetId="68">'322'!$H$56:$H$58</definedName>
    <definedName name="OSRRefD21_8x_4" localSheetId="69">'325'!$H$54</definedName>
    <definedName name="OSRRefD21_8x_4" localSheetId="59">'326'!$H$80</definedName>
    <definedName name="OSRRefD21_8x_4" localSheetId="52">'330'!$H$76:$H$77</definedName>
    <definedName name="OSRRefD21_8x_4" localSheetId="57">'331'!$H$116</definedName>
    <definedName name="OSRRefD21_8x_4" localSheetId="60">'332'!$H$69</definedName>
    <definedName name="OSRRefD21_8x_4" localSheetId="74">'405'!$H$56</definedName>
    <definedName name="OSRRefD21_8x_4" localSheetId="76">'411'!$H$53</definedName>
    <definedName name="OSRRefD21_8x_4" localSheetId="77">'412'!$H$54:$H$55</definedName>
    <definedName name="OSRRefD21_8x_4" localSheetId="78">'413'!$H$57:$H$58</definedName>
    <definedName name="OSRRefD21_8x_4" localSheetId="79">'414'!$H$57:$H$58</definedName>
    <definedName name="OSRRefD21_8x_4" localSheetId="80">'415'!$H$60</definedName>
    <definedName name="OSRRefD21_8x_4" localSheetId="81">'418'!$H$56:$H$57</definedName>
    <definedName name="OSRRefD21_8x_4" localSheetId="89">'433'!$H$60</definedName>
    <definedName name="OSRRefD21_8x_4" localSheetId="91">'444'!$H$60</definedName>
    <definedName name="OSRRefD21_8x_4" localSheetId="92">'450'!$H$56</definedName>
    <definedName name="OSRRefD21_8x_4" localSheetId="73">'491'!$H$64</definedName>
    <definedName name="OSRRefD21_8x_4" localSheetId="87">'492'!$H$60</definedName>
    <definedName name="OSRRefD21_8x_4" localSheetId="94">'501'!$H$56</definedName>
    <definedName name="OSRRefD21_8x_4" localSheetId="39">'Div 2'!$H$54</definedName>
    <definedName name="OSRRefD21_8x_4" localSheetId="47">'Div 3'!$H$164</definedName>
    <definedName name="OSRRefD21_8x_4" localSheetId="71">'Div 4'!$H$67</definedName>
    <definedName name="OSRRefD21_8x_4" localSheetId="93">'Div 5'!$H$56</definedName>
    <definedName name="OSRRefD21_8x_4" localSheetId="62">'Div 6'!$H$87</definedName>
    <definedName name="OSRRefD21_8x_4" localSheetId="2">Summary!$H$195</definedName>
    <definedName name="OSRRefD21_8x_5" localSheetId="41">'201'!$I$52</definedName>
    <definedName name="OSRRefD21_8x_5" localSheetId="42">'202'!$I$55</definedName>
    <definedName name="OSRRefD21_8x_5" localSheetId="43">'203'!$I$53:$I$55</definedName>
    <definedName name="OSRRefD21_8x_5" localSheetId="44">'204'!$I$55:$I$56</definedName>
    <definedName name="OSRRefD21_8x_5" localSheetId="48">'300'!$I$160</definedName>
    <definedName name="OSRRefD21_8x_5" localSheetId="49">'300 &amp; 317'!$I$184</definedName>
    <definedName name="OSRRefD21_8x_5" localSheetId="50">'301'!$I$56</definedName>
    <definedName name="OSRRefD21_8x_5" localSheetId="51">'306'!$I$52</definedName>
    <definedName name="OSRRefD21_8x_5" localSheetId="53">'307'!$I$72:$I$73</definedName>
    <definedName name="OSRRefD21_8x_5" localSheetId="54">'308'!$I$95</definedName>
    <definedName name="OSRRefD21_8x_5" localSheetId="65">'309'!$I$54:$I$55</definedName>
    <definedName name="OSRRefD21_8x_5" localSheetId="64">'310'!$I$63</definedName>
    <definedName name="OSRRefD21_8x_5" localSheetId="72">'310 &amp; 491'!$I$70:$I$71</definedName>
    <definedName name="OSRRefD21_8x_5" localSheetId="55">'311'!$I$94</definedName>
    <definedName name="OSRRefD21_8x_5" localSheetId="58">'315'!$I$115</definedName>
    <definedName name="OSRRefD21_8x_5" localSheetId="61">'316'!$I$67</definedName>
    <definedName name="OSRRefD21_8x_5" localSheetId="63">'317'!$I$87</definedName>
    <definedName name="OSRRefD21_8x_5" localSheetId="67">'321'!$I$57:$I$58</definedName>
    <definedName name="OSRRefD21_8x_5" localSheetId="68">'322'!$I$56:$I$58</definedName>
    <definedName name="OSRRefD21_8x_5" localSheetId="69">'325'!$I$54</definedName>
    <definedName name="OSRRefD21_8x_5" localSheetId="59">'326'!$I$80</definedName>
    <definedName name="OSRRefD21_8x_5" localSheetId="52">'330'!$I$76:$I$77</definedName>
    <definedName name="OSRRefD21_8x_5" localSheetId="57">'331'!$I$116</definedName>
    <definedName name="OSRRefD21_8x_5" localSheetId="60">'332'!$I$69</definedName>
    <definedName name="OSRRefD21_8x_5" localSheetId="74">'405'!$I$56</definedName>
    <definedName name="OSRRefD21_8x_5" localSheetId="76">'411'!$I$53</definedName>
    <definedName name="OSRRefD21_8x_5" localSheetId="77">'412'!$I$54:$I$55</definedName>
    <definedName name="OSRRefD21_8x_5" localSheetId="78">'413'!$I$57:$I$58</definedName>
    <definedName name="OSRRefD21_8x_5" localSheetId="79">'414'!$I$57:$I$58</definedName>
    <definedName name="OSRRefD21_8x_5" localSheetId="80">'415'!$I$60</definedName>
    <definedName name="OSRRefD21_8x_5" localSheetId="81">'418'!$I$56:$I$57</definedName>
    <definedName name="OSRRefD21_8x_5" localSheetId="89">'433'!$I$60</definedName>
    <definedName name="OSRRefD21_8x_5" localSheetId="91">'444'!$I$60</definedName>
    <definedName name="OSRRefD21_8x_5" localSheetId="92">'450'!$I$56</definedName>
    <definedName name="OSRRefD21_8x_5" localSheetId="73">'491'!$I$64</definedName>
    <definedName name="OSRRefD21_8x_5" localSheetId="87">'492'!$I$60</definedName>
    <definedName name="OSRRefD21_8x_5" localSheetId="94">'501'!$I$56</definedName>
    <definedName name="OSRRefD21_8x_5" localSheetId="39">'Div 2'!$I$54</definedName>
    <definedName name="OSRRefD21_8x_5" localSheetId="47">'Div 3'!$I$164</definedName>
    <definedName name="OSRRefD21_8x_5" localSheetId="71">'Div 4'!$I$67</definedName>
    <definedName name="OSRRefD21_8x_5" localSheetId="93">'Div 5'!$I$56</definedName>
    <definedName name="OSRRefD21_8x_5" localSheetId="62">'Div 6'!$I$87</definedName>
    <definedName name="OSRRefD21_8x_5" localSheetId="2">Summary!$I$195</definedName>
    <definedName name="OSRRefD21_8x_6" localSheetId="41">'201'!$J$52</definedName>
    <definedName name="OSRRefD21_8x_6" localSheetId="42">'202'!$J$55</definedName>
    <definedName name="OSRRefD21_8x_6" localSheetId="43">'203'!$J$53:$J$55</definedName>
    <definedName name="OSRRefD21_8x_6" localSheetId="44">'204'!$J$55:$J$56</definedName>
    <definedName name="OSRRefD21_8x_6" localSheetId="48">'300'!$J$160</definedName>
    <definedName name="OSRRefD21_8x_6" localSheetId="49">'300 &amp; 317'!$J$184</definedName>
    <definedName name="OSRRefD21_8x_6" localSheetId="50">'301'!$J$56</definedName>
    <definedName name="OSRRefD21_8x_6" localSheetId="51">'306'!$J$52</definedName>
    <definedName name="OSRRefD21_8x_6" localSheetId="53">'307'!$J$72:$J$73</definedName>
    <definedName name="OSRRefD21_8x_6" localSheetId="54">'308'!$J$95</definedName>
    <definedName name="OSRRefD21_8x_6" localSheetId="65">'309'!$J$54:$J$55</definedName>
    <definedName name="OSRRefD21_8x_6" localSheetId="64">'310'!$J$63</definedName>
    <definedName name="OSRRefD21_8x_6" localSheetId="72">'310 &amp; 491'!$J$70:$J$71</definedName>
    <definedName name="OSRRefD21_8x_6" localSheetId="55">'311'!$J$94</definedName>
    <definedName name="OSRRefD21_8x_6" localSheetId="58">'315'!$J$115</definedName>
    <definedName name="OSRRefD21_8x_6" localSheetId="61">'316'!$J$67</definedName>
    <definedName name="OSRRefD21_8x_6" localSheetId="63">'317'!$J$87</definedName>
    <definedName name="OSRRefD21_8x_6" localSheetId="67">'321'!$J$57:$J$58</definedName>
    <definedName name="OSRRefD21_8x_6" localSheetId="68">'322'!$J$56:$J$58</definedName>
    <definedName name="OSRRefD21_8x_6" localSheetId="69">'325'!$J$54</definedName>
    <definedName name="OSRRefD21_8x_6" localSheetId="59">'326'!$J$80</definedName>
    <definedName name="OSRRefD21_8x_6" localSheetId="52">'330'!$J$76:$J$77</definedName>
    <definedName name="OSRRefD21_8x_6" localSheetId="57">'331'!$J$116</definedName>
    <definedName name="OSRRefD21_8x_6" localSheetId="60">'332'!$J$69</definedName>
    <definedName name="OSRRefD21_8x_6" localSheetId="74">'405'!$J$56</definedName>
    <definedName name="OSRRefD21_8x_6" localSheetId="76">'411'!$J$53</definedName>
    <definedName name="OSRRefD21_8x_6" localSheetId="77">'412'!$J$54:$J$55</definedName>
    <definedName name="OSRRefD21_8x_6" localSheetId="78">'413'!$J$57:$J$58</definedName>
    <definedName name="OSRRefD21_8x_6" localSheetId="79">'414'!$J$57:$J$58</definedName>
    <definedName name="OSRRefD21_8x_6" localSheetId="80">'415'!$J$60</definedName>
    <definedName name="OSRRefD21_8x_6" localSheetId="81">'418'!$J$56:$J$57</definedName>
    <definedName name="OSRRefD21_8x_6" localSheetId="89">'433'!$J$60</definedName>
    <definedName name="OSRRefD21_8x_6" localSheetId="91">'444'!$J$60</definedName>
    <definedName name="OSRRefD21_8x_6" localSheetId="92">'450'!$J$56</definedName>
    <definedName name="OSRRefD21_8x_6" localSheetId="73">'491'!$J$64</definedName>
    <definedName name="OSRRefD21_8x_6" localSheetId="87">'492'!$J$60</definedName>
    <definedName name="OSRRefD21_8x_6" localSheetId="94">'501'!$J$56</definedName>
    <definedName name="OSRRefD21_8x_6" localSheetId="39">'Div 2'!$J$54</definedName>
    <definedName name="OSRRefD21_8x_6" localSheetId="47">'Div 3'!$J$164</definedName>
    <definedName name="OSRRefD21_8x_6" localSheetId="71">'Div 4'!$J$67</definedName>
    <definedName name="OSRRefD21_8x_6" localSheetId="93">'Div 5'!$J$56</definedName>
    <definedName name="OSRRefD21_8x_6" localSheetId="62">'Div 6'!$J$87</definedName>
    <definedName name="OSRRefD21_8x_6" localSheetId="2">Summary!$J$195</definedName>
    <definedName name="OSRRefD21_8x_7" localSheetId="41">'201'!$K$52</definedName>
    <definedName name="OSRRefD21_8x_7" localSheetId="42">'202'!$K$55</definedName>
    <definedName name="OSRRefD21_8x_7" localSheetId="43">'203'!$K$53:$K$55</definedName>
    <definedName name="OSRRefD21_8x_7" localSheetId="44">'204'!$K$55:$K$56</definedName>
    <definedName name="OSRRefD21_8x_7" localSheetId="48">'300'!$K$160</definedName>
    <definedName name="OSRRefD21_8x_7" localSheetId="49">'300 &amp; 317'!$K$184</definedName>
    <definedName name="OSRRefD21_8x_7" localSheetId="50">'301'!$K$56</definedName>
    <definedName name="OSRRefD21_8x_7" localSheetId="51">'306'!$K$52</definedName>
    <definedName name="OSRRefD21_8x_7" localSheetId="53">'307'!$K$72:$K$73</definedName>
    <definedName name="OSRRefD21_8x_7" localSheetId="54">'308'!$K$95</definedName>
    <definedName name="OSRRefD21_8x_7" localSheetId="65">'309'!$K$54:$K$55</definedName>
    <definedName name="OSRRefD21_8x_7" localSheetId="64">'310'!$K$63</definedName>
    <definedName name="OSRRefD21_8x_7" localSheetId="72">'310 &amp; 491'!$K$70:$K$71</definedName>
    <definedName name="OSRRefD21_8x_7" localSheetId="55">'311'!$K$94</definedName>
    <definedName name="OSRRefD21_8x_7" localSheetId="58">'315'!$K$115</definedName>
    <definedName name="OSRRefD21_8x_7" localSheetId="61">'316'!$K$67</definedName>
    <definedName name="OSRRefD21_8x_7" localSheetId="63">'317'!$K$87</definedName>
    <definedName name="OSRRefD21_8x_7" localSheetId="67">'321'!$K$57:$K$58</definedName>
    <definedName name="OSRRefD21_8x_7" localSheetId="68">'322'!$K$56:$K$58</definedName>
    <definedName name="OSRRefD21_8x_7" localSheetId="69">'325'!$K$54</definedName>
    <definedName name="OSRRefD21_8x_7" localSheetId="59">'326'!$K$80</definedName>
    <definedName name="OSRRefD21_8x_7" localSheetId="52">'330'!$K$76:$K$77</definedName>
    <definedName name="OSRRefD21_8x_7" localSheetId="57">'331'!$K$116</definedName>
    <definedName name="OSRRefD21_8x_7" localSheetId="60">'332'!$K$69</definedName>
    <definedName name="OSRRefD21_8x_7" localSheetId="74">'405'!$K$56</definedName>
    <definedName name="OSRRefD21_8x_7" localSheetId="76">'411'!$K$53</definedName>
    <definedName name="OSRRefD21_8x_7" localSheetId="77">'412'!$K$54:$K$55</definedName>
    <definedName name="OSRRefD21_8x_7" localSheetId="78">'413'!$K$57:$K$58</definedName>
    <definedName name="OSRRefD21_8x_7" localSheetId="79">'414'!$K$57:$K$58</definedName>
    <definedName name="OSRRefD21_8x_7" localSheetId="80">'415'!$K$60</definedName>
    <definedName name="OSRRefD21_8x_7" localSheetId="81">'418'!$K$56:$K$57</definedName>
    <definedName name="OSRRefD21_8x_7" localSheetId="89">'433'!$K$60</definedName>
    <definedName name="OSRRefD21_8x_7" localSheetId="91">'444'!$K$60</definedName>
    <definedName name="OSRRefD21_8x_7" localSheetId="92">'450'!$K$56</definedName>
    <definedName name="OSRRefD21_8x_7" localSheetId="73">'491'!$K$64</definedName>
    <definedName name="OSRRefD21_8x_7" localSheetId="87">'492'!$K$60</definedName>
    <definedName name="OSRRefD21_8x_7" localSheetId="94">'501'!$K$56</definedName>
    <definedName name="OSRRefD21_8x_7" localSheetId="39">'Div 2'!$K$54</definedName>
    <definedName name="OSRRefD21_8x_7" localSheetId="47">'Div 3'!$K$164</definedName>
    <definedName name="OSRRefD21_8x_7" localSheetId="71">'Div 4'!$K$67</definedName>
    <definedName name="OSRRefD21_8x_7" localSheetId="93">'Div 5'!$K$56</definedName>
    <definedName name="OSRRefD21_8x_7" localSheetId="62">'Div 6'!$K$87</definedName>
    <definedName name="OSRRefD21_8x_7" localSheetId="2">Summary!$K$195</definedName>
    <definedName name="OSRRefD21_8x_8" localSheetId="41">'201'!$L$52</definedName>
    <definedName name="OSRRefD21_8x_8" localSheetId="42">'202'!$L$55</definedName>
    <definedName name="OSRRefD21_8x_8" localSheetId="43">'203'!$L$53:$L$55</definedName>
    <definedName name="OSRRefD21_8x_8" localSheetId="44">'204'!$L$55:$L$56</definedName>
    <definedName name="OSRRefD21_8x_8" localSheetId="48">'300'!$L$160</definedName>
    <definedName name="OSRRefD21_8x_8" localSheetId="49">'300 &amp; 317'!$L$184</definedName>
    <definedName name="OSRRefD21_8x_8" localSheetId="50">'301'!$L$56</definedName>
    <definedName name="OSRRefD21_8x_8" localSheetId="51">'306'!$L$52</definedName>
    <definedName name="OSRRefD21_8x_8" localSheetId="53">'307'!$L$72:$L$73</definedName>
    <definedName name="OSRRefD21_8x_8" localSheetId="54">'308'!$L$95</definedName>
    <definedName name="OSRRefD21_8x_8" localSheetId="65">'309'!$L$54:$L$55</definedName>
    <definedName name="OSRRefD21_8x_8" localSheetId="64">'310'!$L$63</definedName>
    <definedName name="OSRRefD21_8x_8" localSheetId="72">'310 &amp; 491'!$L$70:$L$71</definedName>
    <definedName name="OSRRefD21_8x_8" localSheetId="55">'311'!$L$94</definedName>
    <definedName name="OSRRefD21_8x_8" localSheetId="58">'315'!$L$115</definedName>
    <definedName name="OSRRefD21_8x_8" localSheetId="61">'316'!$L$67</definedName>
    <definedName name="OSRRefD21_8x_8" localSheetId="63">'317'!$L$87</definedName>
    <definedName name="OSRRefD21_8x_8" localSheetId="67">'321'!$L$57:$L$58</definedName>
    <definedName name="OSRRefD21_8x_8" localSheetId="68">'322'!$L$56:$L$58</definedName>
    <definedName name="OSRRefD21_8x_8" localSheetId="69">'325'!$L$54</definedName>
    <definedName name="OSRRefD21_8x_8" localSheetId="59">'326'!$L$80</definedName>
    <definedName name="OSRRefD21_8x_8" localSheetId="52">'330'!$L$76:$L$77</definedName>
    <definedName name="OSRRefD21_8x_8" localSheetId="57">'331'!$L$116</definedName>
    <definedName name="OSRRefD21_8x_8" localSheetId="60">'332'!$L$69</definedName>
    <definedName name="OSRRefD21_8x_8" localSheetId="74">'405'!$L$56</definedName>
    <definedName name="OSRRefD21_8x_8" localSheetId="76">'411'!$L$53</definedName>
    <definedName name="OSRRefD21_8x_8" localSheetId="77">'412'!$L$54:$L$55</definedName>
    <definedName name="OSRRefD21_8x_8" localSheetId="78">'413'!$L$57:$L$58</definedName>
    <definedName name="OSRRefD21_8x_8" localSheetId="79">'414'!$L$57:$L$58</definedName>
    <definedName name="OSRRefD21_8x_8" localSheetId="80">'415'!$L$60</definedName>
    <definedName name="OSRRefD21_8x_8" localSheetId="81">'418'!$L$56:$L$57</definedName>
    <definedName name="OSRRefD21_8x_8" localSheetId="89">'433'!$L$60</definedName>
    <definedName name="OSRRefD21_8x_8" localSheetId="91">'444'!$L$60</definedName>
    <definedName name="OSRRefD21_8x_8" localSheetId="92">'450'!$L$56</definedName>
    <definedName name="OSRRefD21_8x_8" localSheetId="73">'491'!$L$64</definedName>
    <definedName name="OSRRefD21_8x_8" localSheetId="87">'492'!$L$60</definedName>
    <definedName name="OSRRefD21_8x_8" localSheetId="94">'501'!$L$56</definedName>
    <definedName name="OSRRefD21_8x_8" localSheetId="39">'Div 2'!$L$54</definedName>
    <definedName name="OSRRefD21_8x_8" localSheetId="47">'Div 3'!$L$164</definedName>
    <definedName name="OSRRefD21_8x_8" localSheetId="71">'Div 4'!$L$67</definedName>
    <definedName name="OSRRefD21_8x_8" localSheetId="93">'Div 5'!$L$56</definedName>
    <definedName name="OSRRefD21_8x_8" localSheetId="62">'Div 6'!$L$87</definedName>
    <definedName name="OSRRefD21_8x_8" localSheetId="2">Summary!$L$195</definedName>
    <definedName name="OSRRefD21_8x_9" localSheetId="41">'201'!$M$52</definedName>
    <definedName name="OSRRefD21_8x_9" localSheetId="42">'202'!$M$55</definedName>
    <definedName name="OSRRefD21_8x_9" localSheetId="43">'203'!$M$53:$M$55</definedName>
    <definedName name="OSRRefD21_8x_9" localSheetId="44">'204'!$M$55:$M$56</definedName>
    <definedName name="OSRRefD21_8x_9" localSheetId="48">'300'!$M$160</definedName>
    <definedName name="OSRRefD21_8x_9" localSheetId="49">'300 &amp; 317'!$M$184</definedName>
    <definedName name="OSRRefD21_8x_9" localSheetId="50">'301'!$M$56</definedName>
    <definedName name="OSRRefD21_8x_9" localSheetId="51">'306'!$M$52</definedName>
    <definedName name="OSRRefD21_8x_9" localSheetId="53">'307'!$M$72:$M$73</definedName>
    <definedName name="OSRRefD21_8x_9" localSheetId="54">'308'!$M$95</definedName>
    <definedName name="OSRRefD21_8x_9" localSheetId="65">'309'!$M$54:$M$55</definedName>
    <definedName name="OSRRefD21_8x_9" localSheetId="64">'310'!$M$63</definedName>
    <definedName name="OSRRefD21_8x_9" localSheetId="72">'310 &amp; 491'!$M$70:$M$71</definedName>
    <definedName name="OSRRefD21_8x_9" localSheetId="55">'311'!$M$94</definedName>
    <definedName name="OSRRefD21_8x_9" localSheetId="58">'315'!$M$115</definedName>
    <definedName name="OSRRefD21_8x_9" localSheetId="61">'316'!$M$67</definedName>
    <definedName name="OSRRefD21_8x_9" localSheetId="63">'317'!$M$87</definedName>
    <definedName name="OSRRefD21_8x_9" localSheetId="67">'321'!$M$57:$M$58</definedName>
    <definedName name="OSRRefD21_8x_9" localSheetId="68">'322'!$M$56:$M$58</definedName>
    <definedName name="OSRRefD21_8x_9" localSheetId="69">'325'!$M$54</definedName>
    <definedName name="OSRRefD21_8x_9" localSheetId="59">'326'!$M$80</definedName>
    <definedName name="OSRRefD21_8x_9" localSheetId="52">'330'!$M$76:$M$77</definedName>
    <definedName name="OSRRefD21_8x_9" localSheetId="57">'331'!$M$116</definedName>
    <definedName name="OSRRefD21_8x_9" localSheetId="60">'332'!$M$69</definedName>
    <definedName name="OSRRefD21_8x_9" localSheetId="74">'405'!$M$56</definedName>
    <definedName name="OSRRefD21_8x_9" localSheetId="76">'411'!$M$53</definedName>
    <definedName name="OSRRefD21_8x_9" localSheetId="77">'412'!$M$54:$M$55</definedName>
    <definedName name="OSRRefD21_8x_9" localSheetId="78">'413'!$M$57:$M$58</definedName>
    <definedName name="OSRRefD21_8x_9" localSheetId="79">'414'!$M$57:$M$58</definedName>
    <definedName name="OSRRefD21_8x_9" localSheetId="80">'415'!$M$60</definedName>
    <definedName name="OSRRefD21_8x_9" localSheetId="81">'418'!$M$56:$M$57</definedName>
    <definedName name="OSRRefD21_8x_9" localSheetId="89">'433'!$M$60</definedName>
    <definedName name="OSRRefD21_8x_9" localSheetId="91">'444'!$M$60</definedName>
    <definedName name="OSRRefD21_8x_9" localSheetId="92">'450'!$M$56</definedName>
    <definedName name="OSRRefD21_8x_9" localSheetId="73">'491'!$M$64</definedName>
    <definedName name="OSRRefD21_8x_9" localSheetId="87">'492'!$M$60</definedName>
    <definedName name="OSRRefD21_8x_9" localSheetId="94">'501'!$M$56</definedName>
    <definedName name="OSRRefD21_8x_9" localSheetId="39">'Div 2'!$M$54</definedName>
    <definedName name="OSRRefD21_8x_9" localSheetId="47">'Div 3'!$M$164</definedName>
    <definedName name="OSRRefD21_8x_9" localSheetId="71">'Div 4'!$M$67</definedName>
    <definedName name="OSRRefD21_8x_9" localSheetId="93">'Div 5'!$M$56</definedName>
    <definedName name="OSRRefD21_8x_9" localSheetId="62">'Div 6'!$M$87</definedName>
    <definedName name="OSRRefD21_8x_9" localSheetId="2">Summary!$M$195</definedName>
    <definedName name="OSRRefD21_9_0x" localSheetId="41">'201'!$D$54:$M$54</definedName>
    <definedName name="OSRRefD21_9_0x" localSheetId="42">'202'!$D$57:$M$57</definedName>
    <definedName name="OSRRefD21_9_0x" localSheetId="43">'203'!$D$57:$M$57</definedName>
    <definedName name="OSRRefD21_9_0x" localSheetId="44">'204'!$D$58:$M$58</definedName>
    <definedName name="OSRRefD21_9_0x" localSheetId="48">'300'!$D$162:$M$162</definedName>
    <definedName name="OSRRefD21_9_0x" localSheetId="49">'300 &amp; 317'!$D$186:$M$186</definedName>
    <definedName name="OSRRefD21_9_0x" localSheetId="50">'301'!$D$58:$M$58</definedName>
    <definedName name="OSRRefD21_9_0x" localSheetId="53">'307'!$D$75:$M$75</definedName>
    <definedName name="OSRRefD21_9_0x" localSheetId="54">'308'!$D$97:$M$97</definedName>
    <definedName name="OSRRefD21_9_0x" localSheetId="65">'309'!$D$57:$M$57</definedName>
    <definedName name="OSRRefD21_9_0x" localSheetId="64">'310'!$D$65:$M$65</definedName>
    <definedName name="OSRRefD21_9_0x" localSheetId="72">'310 &amp; 491'!$D$73:$M$73</definedName>
    <definedName name="OSRRefD21_9_0x" localSheetId="55">'311'!$D$96:$M$96</definedName>
    <definedName name="OSRRefD21_9_0x" localSheetId="58">'315'!$D$117:$M$117</definedName>
    <definedName name="OSRRefD21_9_0x" localSheetId="61">'316'!$D$69:$M$69</definedName>
    <definedName name="OSRRefD21_9_0x" localSheetId="63">'317'!$D$89:$M$89</definedName>
    <definedName name="OSRRefD21_9_0x" localSheetId="67">'321'!$D$60:$M$60</definedName>
    <definedName name="OSRRefD21_9_0x" localSheetId="68">'322'!$D$60:$M$60</definedName>
    <definedName name="OSRRefD21_9_0x" localSheetId="69">'325'!$D$56:$M$56</definedName>
    <definedName name="OSRRefD21_9_0x" localSheetId="59">'326'!$D$82:$M$82</definedName>
    <definedName name="OSRRefD21_9_0x" localSheetId="52">'330'!$D$79:$M$79</definedName>
    <definedName name="OSRRefD21_9_0x" localSheetId="57">'331'!$D$118:$M$118</definedName>
    <definedName name="OSRRefD21_9_0x" localSheetId="60">'332'!$D$71:$M$71</definedName>
    <definedName name="OSRRefD21_9_0x" localSheetId="74">'405'!$D$58:$M$58</definedName>
    <definedName name="OSRRefD21_9_0x" localSheetId="76">'411'!$D$55:$M$55</definedName>
    <definedName name="OSRRefD21_9_0x" localSheetId="77">'412'!$D$57:$M$57</definedName>
    <definedName name="OSRRefD21_9_0x" localSheetId="78">'413'!$D$60:$M$60</definedName>
    <definedName name="OSRRefD21_9_0x" localSheetId="79">'414'!$D$60:$M$60</definedName>
    <definedName name="OSRRefD21_9_0x" localSheetId="80">'415'!$D$62:$M$62</definedName>
    <definedName name="OSRRefD21_9_0x" localSheetId="81">'418'!$D$59:$M$59</definedName>
    <definedName name="OSRRefD21_9_0x" localSheetId="89">'433'!$D$62:$M$62</definedName>
    <definedName name="OSRRefD21_9_0x" localSheetId="91">'444'!$D$62:$M$62</definedName>
    <definedName name="OSRRefD21_9_0x" localSheetId="92">'450'!$D$58:$M$58</definedName>
    <definedName name="OSRRefD21_9_0x" localSheetId="73">'491'!$D$66:$M$66</definedName>
    <definedName name="OSRRefD21_9_0x" localSheetId="87">'492'!$D$62:$M$62</definedName>
    <definedName name="OSRRefD21_9_0x" localSheetId="94">'501'!$D$58:$M$58</definedName>
    <definedName name="OSRRefD21_9_0x" localSheetId="39">'Div 2'!$D$56:$M$56</definedName>
    <definedName name="OSRRefD21_9_0x" localSheetId="47">'Div 3'!$D$166:$M$166</definedName>
    <definedName name="OSRRefD21_9_0x" localSheetId="71">'Div 4'!$D$69:$M$69</definedName>
    <definedName name="OSRRefD21_9_0x" localSheetId="93">'Div 5'!$D$58:$M$58</definedName>
    <definedName name="OSRRefD21_9_0x" localSheetId="62">'Div 6'!$D$89:$M$89</definedName>
    <definedName name="OSRRefD21_9_0x" localSheetId="2">Summary!$D$197:$M$197</definedName>
    <definedName name="OSRRefD21_9_1x" localSheetId="42">'202'!$D$58:$M$58</definedName>
    <definedName name="OSRRefD21_9_1x" localSheetId="43">'203'!$D$58:$M$58</definedName>
    <definedName name="OSRRefD21_9_1x" localSheetId="53">'307'!$D$76:$M$76</definedName>
    <definedName name="OSRRefD21_9_1x" localSheetId="54">'308'!$D$98:$M$98</definedName>
    <definedName name="OSRRefD21_9_1x" localSheetId="65">'309'!$D$58:$M$58</definedName>
    <definedName name="OSRRefD21_9_1x" localSheetId="55">'311'!$D$97:$M$97</definedName>
    <definedName name="OSRRefD21_9_1x" localSheetId="58">'315'!$D$118:$M$118</definedName>
    <definedName name="OSRRefD21_9_1x" localSheetId="61">'316'!$D$70:$M$70</definedName>
    <definedName name="OSRRefD21_9_1x" localSheetId="63">'317'!$D$90:$M$90</definedName>
    <definedName name="OSRRefD21_9_1x" localSheetId="67">'321'!$D$61:$M$61</definedName>
    <definedName name="OSRRefD21_9_1x" localSheetId="52">'330'!$D$80:$M$80</definedName>
    <definedName name="OSRRefD21_9_1x" localSheetId="60">'332'!$D$72:$M$72</definedName>
    <definedName name="OSRRefD21_9_1x" localSheetId="74">'405'!$D$59:$M$59</definedName>
    <definedName name="OSRRefD21_9_1x" localSheetId="76">'411'!$D$56:$M$56</definedName>
    <definedName name="OSRRefD21_9_1x" localSheetId="78">'413'!$D$61:$M$61</definedName>
    <definedName name="OSRRefD21_9_1x" localSheetId="81">'418'!$D$60:$M$60</definedName>
    <definedName name="OSRRefD21_9_1x" localSheetId="94">'501'!$D$59:$M$59</definedName>
    <definedName name="OSRRefD21_9_1x" localSheetId="39">'Div 2'!$D$57:$M$57</definedName>
    <definedName name="OSRRefD21_9_1x" localSheetId="93">'Div 5'!$D$59:$M$59</definedName>
    <definedName name="OSRRefD21_9_1x" localSheetId="62">'Div 6'!$D$90:$M$90</definedName>
    <definedName name="OSRRefD21_9_2x" localSheetId="54">'308'!$D$99:$M$99</definedName>
    <definedName name="OSRRefD21_9_2x" localSheetId="55">'311'!$D$98:$M$98</definedName>
    <definedName name="OSRRefD21_9_2x" localSheetId="61">'316'!$D$71:$M$71</definedName>
    <definedName name="OSRRefD21_9_2x" localSheetId="60">'332'!$D$73:$M$73</definedName>
    <definedName name="OSRRefD21_9_2x" localSheetId="76">'411'!$D$57:$M$57</definedName>
    <definedName name="OSRRefD21_9_2x" localSheetId="94">'501'!$D$60:$M$60</definedName>
    <definedName name="OSRRefD21_9_2x" localSheetId="93">'Div 5'!$D$60:$M$60</definedName>
    <definedName name="OSRRefD21_9_3x" localSheetId="61">'316'!$D$72:$M$72</definedName>
    <definedName name="OSRRefD21_9_3x" localSheetId="60">'332'!$D$74:$M$74</definedName>
    <definedName name="OSRRefD21_9_3x" localSheetId="76">'411'!$D$58:$M$58</definedName>
    <definedName name="OSRRefD21_9_4x" localSheetId="61">'316'!$D$73:$M$73</definedName>
    <definedName name="OSRRefD21_9_4x" localSheetId="60">'332'!$D$75:$M$75</definedName>
    <definedName name="OSRRefD21_9x_0" localSheetId="41">'201'!$D$54</definedName>
    <definedName name="OSRRefD21_9x_0" localSheetId="42">'202'!$D$57:$D$58</definedName>
    <definedName name="OSRRefD21_9x_0" localSheetId="43">'203'!$D$57:$D$58</definedName>
    <definedName name="OSRRefD21_9x_0" localSheetId="44">'204'!$D$58</definedName>
    <definedName name="OSRRefD21_9x_0" localSheetId="48">'300'!$D$162</definedName>
    <definedName name="OSRRefD21_9x_0" localSheetId="49">'300 &amp; 317'!$D$186</definedName>
    <definedName name="OSRRefD21_9x_0" localSheetId="50">'301'!$D$58</definedName>
    <definedName name="OSRRefD21_9x_0" localSheetId="53">'307'!$D$75:$D$76</definedName>
    <definedName name="OSRRefD21_9x_0" localSheetId="54">'308'!$D$97:$D$99</definedName>
    <definedName name="OSRRefD21_9x_0" localSheetId="65">'309'!$D$57:$D$58</definedName>
    <definedName name="OSRRefD21_9x_0" localSheetId="64">'310'!$D$65</definedName>
    <definedName name="OSRRefD21_9x_0" localSheetId="72">'310 &amp; 491'!$D$73</definedName>
    <definedName name="OSRRefD21_9x_0" localSheetId="55">'311'!$D$96:$D$98</definedName>
    <definedName name="OSRRefD21_9x_0" localSheetId="58">'315'!$D$117:$D$118</definedName>
    <definedName name="OSRRefD21_9x_0" localSheetId="61">'316'!$D$69:$D$73</definedName>
    <definedName name="OSRRefD21_9x_0" localSheetId="63">'317'!$D$89:$D$90</definedName>
    <definedName name="OSRRefD21_9x_0" localSheetId="67">'321'!$D$60:$D$61</definedName>
    <definedName name="OSRRefD21_9x_0" localSheetId="68">'322'!$D$60</definedName>
    <definedName name="OSRRefD21_9x_0" localSheetId="69">'325'!$D$56</definedName>
    <definedName name="OSRRefD21_9x_0" localSheetId="59">'326'!$D$82</definedName>
    <definedName name="OSRRefD21_9x_0" localSheetId="52">'330'!$D$79:$D$80</definedName>
    <definedName name="OSRRefD21_9x_0" localSheetId="57">'331'!$D$118</definedName>
    <definedName name="OSRRefD21_9x_0" localSheetId="60">'332'!$D$71:$D$75</definedName>
    <definedName name="OSRRefD21_9x_0" localSheetId="74">'405'!$D$58:$D$59</definedName>
    <definedName name="OSRRefD21_9x_0" localSheetId="76">'411'!$D$55:$D$58</definedName>
    <definedName name="OSRRefD21_9x_0" localSheetId="77">'412'!$D$57</definedName>
    <definedName name="OSRRefD21_9x_0" localSheetId="78">'413'!$D$60:$D$61</definedName>
    <definedName name="OSRRefD21_9x_0" localSheetId="79">'414'!$D$60</definedName>
    <definedName name="OSRRefD21_9x_0" localSheetId="80">'415'!$D$62</definedName>
    <definedName name="OSRRefD21_9x_0" localSheetId="81">'418'!$D$59:$D$60</definedName>
    <definedName name="OSRRefD21_9x_0" localSheetId="89">'433'!$D$62</definedName>
    <definedName name="OSRRefD21_9x_0" localSheetId="91">'444'!$D$62</definedName>
    <definedName name="OSRRefD21_9x_0" localSheetId="92">'450'!$D$58</definedName>
    <definedName name="OSRRefD21_9x_0" localSheetId="73">'491'!$D$66</definedName>
    <definedName name="OSRRefD21_9x_0" localSheetId="87">'492'!$D$62</definedName>
    <definedName name="OSRRefD21_9x_0" localSheetId="94">'501'!$D$58:$D$60</definedName>
    <definedName name="OSRRefD21_9x_0" localSheetId="39">'Div 2'!$D$56:$D$57</definedName>
    <definedName name="OSRRefD21_9x_0" localSheetId="47">'Div 3'!$D$166</definedName>
    <definedName name="OSRRefD21_9x_0" localSheetId="71">'Div 4'!$D$69</definedName>
    <definedName name="OSRRefD21_9x_0" localSheetId="93">'Div 5'!$D$58:$D$60</definedName>
    <definedName name="OSRRefD21_9x_0" localSheetId="62">'Div 6'!$D$89:$D$90</definedName>
    <definedName name="OSRRefD21_9x_0" localSheetId="2">Summary!$D$197</definedName>
    <definedName name="OSRRefD21_9x_1" localSheetId="41">'201'!$E$54</definedName>
    <definedName name="OSRRefD21_9x_1" localSheetId="42">'202'!$E$57:$E$58</definedName>
    <definedName name="OSRRefD21_9x_1" localSheetId="43">'203'!$E$57:$E$58</definedName>
    <definedName name="OSRRefD21_9x_1" localSheetId="44">'204'!$E$58</definedName>
    <definedName name="OSRRefD21_9x_1" localSheetId="48">'300'!$E$162</definedName>
    <definedName name="OSRRefD21_9x_1" localSheetId="49">'300 &amp; 317'!$E$186</definedName>
    <definedName name="OSRRefD21_9x_1" localSheetId="50">'301'!$E$58</definedName>
    <definedName name="OSRRefD21_9x_1" localSheetId="53">'307'!$E$75:$E$76</definedName>
    <definedName name="OSRRefD21_9x_1" localSheetId="54">'308'!$E$97:$E$99</definedName>
    <definedName name="OSRRefD21_9x_1" localSheetId="65">'309'!$E$57:$E$58</definedName>
    <definedName name="OSRRefD21_9x_1" localSheetId="64">'310'!$E$65</definedName>
    <definedName name="OSRRefD21_9x_1" localSheetId="72">'310 &amp; 491'!$E$73</definedName>
    <definedName name="OSRRefD21_9x_1" localSheetId="55">'311'!$E$96:$E$98</definedName>
    <definedName name="OSRRefD21_9x_1" localSheetId="58">'315'!$E$117:$E$118</definedName>
    <definedName name="OSRRefD21_9x_1" localSheetId="61">'316'!$E$69:$E$73</definedName>
    <definedName name="OSRRefD21_9x_1" localSheetId="63">'317'!$E$89:$E$90</definedName>
    <definedName name="OSRRefD21_9x_1" localSheetId="67">'321'!$E$60:$E$61</definedName>
    <definedName name="OSRRefD21_9x_1" localSheetId="68">'322'!$E$60</definedName>
    <definedName name="OSRRefD21_9x_1" localSheetId="69">'325'!$E$56</definedName>
    <definedName name="OSRRefD21_9x_1" localSheetId="59">'326'!$E$82</definedName>
    <definedName name="OSRRefD21_9x_1" localSheetId="52">'330'!$E$79:$E$80</definedName>
    <definedName name="OSRRefD21_9x_1" localSheetId="57">'331'!$E$118</definedName>
    <definedName name="OSRRefD21_9x_1" localSheetId="60">'332'!$E$71:$E$75</definedName>
    <definedName name="OSRRefD21_9x_1" localSheetId="74">'405'!$E$58:$E$59</definedName>
    <definedName name="OSRRefD21_9x_1" localSheetId="76">'411'!$E$55:$E$58</definedName>
    <definedName name="OSRRefD21_9x_1" localSheetId="77">'412'!$E$57</definedName>
    <definedName name="OSRRefD21_9x_1" localSheetId="78">'413'!$E$60:$E$61</definedName>
    <definedName name="OSRRefD21_9x_1" localSheetId="79">'414'!$E$60</definedName>
    <definedName name="OSRRefD21_9x_1" localSheetId="80">'415'!$E$62</definedName>
    <definedName name="OSRRefD21_9x_1" localSheetId="81">'418'!$E$59:$E$60</definedName>
    <definedName name="OSRRefD21_9x_1" localSheetId="89">'433'!$E$62</definedName>
    <definedName name="OSRRefD21_9x_1" localSheetId="91">'444'!$E$62</definedName>
    <definedName name="OSRRefD21_9x_1" localSheetId="92">'450'!$E$58</definedName>
    <definedName name="OSRRefD21_9x_1" localSheetId="73">'491'!$E$66</definedName>
    <definedName name="OSRRefD21_9x_1" localSheetId="87">'492'!$E$62</definedName>
    <definedName name="OSRRefD21_9x_1" localSheetId="94">'501'!$E$58:$E$60</definedName>
    <definedName name="OSRRefD21_9x_1" localSheetId="39">'Div 2'!$E$56:$E$57</definedName>
    <definedName name="OSRRefD21_9x_1" localSheetId="47">'Div 3'!$E$166</definedName>
    <definedName name="OSRRefD21_9x_1" localSheetId="71">'Div 4'!$E$69</definedName>
    <definedName name="OSRRefD21_9x_1" localSheetId="93">'Div 5'!$E$58:$E$60</definedName>
    <definedName name="OSRRefD21_9x_1" localSheetId="62">'Div 6'!$E$89:$E$90</definedName>
    <definedName name="OSRRefD21_9x_1" localSheetId="2">Summary!$E$197</definedName>
    <definedName name="OSRRefD21_9x_2" localSheetId="41">'201'!$F$54</definedName>
    <definedName name="OSRRefD21_9x_2" localSheetId="42">'202'!$F$57:$F$58</definedName>
    <definedName name="OSRRefD21_9x_2" localSheetId="43">'203'!$F$57:$F$58</definedName>
    <definedName name="OSRRefD21_9x_2" localSheetId="44">'204'!$F$58</definedName>
    <definedName name="OSRRefD21_9x_2" localSheetId="48">'300'!$F$162</definedName>
    <definedName name="OSRRefD21_9x_2" localSheetId="49">'300 &amp; 317'!$F$186</definedName>
    <definedName name="OSRRefD21_9x_2" localSheetId="50">'301'!$F$58</definedName>
    <definedName name="OSRRefD21_9x_2" localSheetId="53">'307'!$F$75:$F$76</definedName>
    <definedName name="OSRRefD21_9x_2" localSheetId="54">'308'!$F$97:$F$99</definedName>
    <definedName name="OSRRefD21_9x_2" localSheetId="65">'309'!$F$57:$F$58</definedName>
    <definedName name="OSRRefD21_9x_2" localSheetId="64">'310'!$F$65</definedName>
    <definedName name="OSRRefD21_9x_2" localSheetId="72">'310 &amp; 491'!$F$73</definedName>
    <definedName name="OSRRefD21_9x_2" localSheetId="55">'311'!$F$96:$F$98</definedName>
    <definedName name="OSRRefD21_9x_2" localSheetId="58">'315'!$F$117:$F$118</definedName>
    <definedName name="OSRRefD21_9x_2" localSheetId="61">'316'!$F$69:$F$73</definedName>
    <definedName name="OSRRefD21_9x_2" localSheetId="63">'317'!$F$89:$F$90</definedName>
    <definedName name="OSRRefD21_9x_2" localSheetId="67">'321'!$F$60:$F$61</definedName>
    <definedName name="OSRRefD21_9x_2" localSheetId="68">'322'!$F$60</definedName>
    <definedName name="OSRRefD21_9x_2" localSheetId="69">'325'!$F$56</definedName>
    <definedName name="OSRRefD21_9x_2" localSheetId="59">'326'!$F$82</definedName>
    <definedName name="OSRRefD21_9x_2" localSheetId="52">'330'!$F$79:$F$80</definedName>
    <definedName name="OSRRefD21_9x_2" localSheetId="57">'331'!$F$118</definedName>
    <definedName name="OSRRefD21_9x_2" localSheetId="60">'332'!$F$71:$F$75</definedName>
    <definedName name="OSRRefD21_9x_2" localSheetId="74">'405'!$F$58:$F$59</definedName>
    <definedName name="OSRRefD21_9x_2" localSheetId="76">'411'!$F$55:$F$58</definedName>
    <definedName name="OSRRefD21_9x_2" localSheetId="77">'412'!$F$57</definedName>
    <definedName name="OSRRefD21_9x_2" localSheetId="78">'413'!$F$60:$F$61</definedName>
    <definedName name="OSRRefD21_9x_2" localSheetId="79">'414'!$F$60</definedName>
    <definedName name="OSRRefD21_9x_2" localSheetId="80">'415'!$F$62</definedName>
    <definedName name="OSRRefD21_9x_2" localSheetId="81">'418'!$F$59:$F$60</definedName>
    <definedName name="OSRRefD21_9x_2" localSheetId="89">'433'!$F$62</definedName>
    <definedName name="OSRRefD21_9x_2" localSheetId="91">'444'!$F$62</definedName>
    <definedName name="OSRRefD21_9x_2" localSheetId="92">'450'!$F$58</definedName>
    <definedName name="OSRRefD21_9x_2" localSheetId="73">'491'!$F$66</definedName>
    <definedName name="OSRRefD21_9x_2" localSheetId="87">'492'!$F$62</definedName>
    <definedName name="OSRRefD21_9x_2" localSheetId="94">'501'!$F$58:$F$60</definedName>
    <definedName name="OSRRefD21_9x_2" localSheetId="39">'Div 2'!$F$56:$F$57</definedName>
    <definedName name="OSRRefD21_9x_2" localSheetId="47">'Div 3'!$F$166</definedName>
    <definedName name="OSRRefD21_9x_2" localSheetId="71">'Div 4'!$F$69</definedName>
    <definedName name="OSRRefD21_9x_2" localSheetId="93">'Div 5'!$F$58:$F$60</definedName>
    <definedName name="OSRRefD21_9x_2" localSheetId="62">'Div 6'!$F$89:$F$90</definedName>
    <definedName name="OSRRefD21_9x_2" localSheetId="2">Summary!$F$197</definedName>
    <definedName name="OSRRefD21_9x_3" localSheetId="41">'201'!$G$54</definedName>
    <definedName name="OSRRefD21_9x_3" localSheetId="42">'202'!$G$57:$G$58</definedName>
    <definedName name="OSRRefD21_9x_3" localSheetId="43">'203'!$G$57:$G$58</definedName>
    <definedName name="OSRRefD21_9x_3" localSheetId="44">'204'!$G$58</definedName>
    <definedName name="OSRRefD21_9x_3" localSheetId="48">'300'!$G$162</definedName>
    <definedName name="OSRRefD21_9x_3" localSheetId="49">'300 &amp; 317'!$G$186</definedName>
    <definedName name="OSRRefD21_9x_3" localSheetId="50">'301'!$G$58</definedName>
    <definedName name="OSRRefD21_9x_3" localSheetId="53">'307'!$G$75:$G$76</definedName>
    <definedName name="OSRRefD21_9x_3" localSheetId="54">'308'!$G$97:$G$99</definedName>
    <definedName name="OSRRefD21_9x_3" localSheetId="65">'309'!$G$57:$G$58</definedName>
    <definedName name="OSRRefD21_9x_3" localSheetId="64">'310'!$G$65</definedName>
    <definedName name="OSRRefD21_9x_3" localSheetId="72">'310 &amp; 491'!$G$73</definedName>
    <definedName name="OSRRefD21_9x_3" localSheetId="55">'311'!$G$96:$G$98</definedName>
    <definedName name="OSRRefD21_9x_3" localSheetId="58">'315'!$G$117:$G$118</definedName>
    <definedName name="OSRRefD21_9x_3" localSheetId="61">'316'!$G$69:$G$73</definedName>
    <definedName name="OSRRefD21_9x_3" localSheetId="63">'317'!$G$89:$G$90</definedName>
    <definedName name="OSRRefD21_9x_3" localSheetId="67">'321'!$G$60:$G$61</definedName>
    <definedName name="OSRRefD21_9x_3" localSheetId="68">'322'!$G$60</definedName>
    <definedName name="OSRRefD21_9x_3" localSheetId="69">'325'!$G$56</definedName>
    <definedName name="OSRRefD21_9x_3" localSheetId="59">'326'!$G$82</definedName>
    <definedName name="OSRRefD21_9x_3" localSheetId="52">'330'!$G$79:$G$80</definedName>
    <definedName name="OSRRefD21_9x_3" localSheetId="57">'331'!$G$118</definedName>
    <definedName name="OSRRefD21_9x_3" localSheetId="60">'332'!$G$71:$G$75</definedName>
    <definedName name="OSRRefD21_9x_3" localSheetId="74">'405'!$G$58:$G$59</definedName>
    <definedName name="OSRRefD21_9x_3" localSheetId="76">'411'!$G$55:$G$58</definedName>
    <definedName name="OSRRefD21_9x_3" localSheetId="77">'412'!$G$57</definedName>
    <definedName name="OSRRefD21_9x_3" localSheetId="78">'413'!$G$60:$G$61</definedName>
    <definedName name="OSRRefD21_9x_3" localSheetId="79">'414'!$G$60</definedName>
    <definedName name="OSRRefD21_9x_3" localSheetId="80">'415'!$G$62</definedName>
    <definedName name="OSRRefD21_9x_3" localSheetId="81">'418'!$G$59:$G$60</definedName>
    <definedName name="OSRRefD21_9x_3" localSheetId="89">'433'!$G$62</definedName>
    <definedName name="OSRRefD21_9x_3" localSheetId="91">'444'!$G$62</definedName>
    <definedName name="OSRRefD21_9x_3" localSheetId="92">'450'!$G$58</definedName>
    <definedName name="OSRRefD21_9x_3" localSheetId="73">'491'!$G$66</definedName>
    <definedName name="OSRRefD21_9x_3" localSheetId="87">'492'!$G$62</definedName>
    <definedName name="OSRRefD21_9x_3" localSheetId="94">'501'!$G$58:$G$60</definedName>
    <definedName name="OSRRefD21_9x_3" localSheetId="39">'Div 2'!$G$56:$G$57</definedName>
    <definedName name="OSRRefD21_9x_3" localSheetId="47">'Div 3'!$G$166</definedName>
    <definedName name="OSRRefD21_9x_3" localSheetId="71">'Div 4'!$G$69</definedName>
    <definedName name="OSRRefD21_9x_3" localSheetId="93">'Div 5'!$G$58:$G$60</definedName>
    <definedName name="OSRRefD21_9x_3" localSheetId="62">'Div 6'!$G$89:$G$90</definedName>
    <definedName name="OSRRefD21_9x_3" localSheetId="2">Summary!$G$197</definedName>
    <definedName name="OSRRefD21_9x_4" localSheetId="41">'201'!$H$54</definedName>
    <definedName name="OSRRefD21_9x_4" localSheetId="42">'202'!$H$57:$H$58</definedName>
    <definedName name="OSRRefD21_9x_4" localSheetId="43">'203'!$H$57:$H$58</definedName>
    <definedName name="OSRRefD21_9x_4" localSheetId="44">'204'!$H$58</definedName>
    <definedName name="OSRRefD21_9x_4" localSheetId="48">'300'!$H$162</definedName>
    <definedName name="OSRRefD21_9x_4" localSheetId="49">'300 &amp; 317'!$H$186</definedName>
    <definedName name="OSRRefD21_9x_4" localSheetId="50">'301'!$H$58</definedName>
    <definedName name="OSRRefD21_9x_4" localSheetId="53">'307'!$H$75:$H$76</definedName>
    <definedName name="OSRRefD21_9x_4" localSheetId="54">'308'!$H$97:$H$99</definedName>
    <definedName name="OSRRefD21_9x_4" localSheetId="65">'309'!$H$57:$H$58</definedName>
    <definedName name="OSRRefD21_9x_4" localSheetId="64">'310'!$H$65</definedName>
    <definedName name="OSRRefD21_9x_4" localSheetId="72">'310 &amp; 491'!$H$73</definedName>
    <definedName name="OSRRefD21_9x_4" localSheetId="55">'311'!$H$96:$H$98</definedName>
    <definedName name="OSRRefD21_9x_4" localSheetId="58">'315'!$H$117:$H$118</definedName>
    <definedName name="OSRRefD21_9x_4" localSheetId="61">'316'!$H$69:$H$73</definedName>
    <definedName name="OSRRefD21_9x_4" localSheetId="63">'317'!$H$89:$H$90</definedName>
    <definedName name="OSRRefD21_9x_4" localSheetId="67">'321'!$H$60:$H$61</definedName>
    <definedName name="OSRRefD21_9x_4" localSheetId="68">'322'!$H$60</definedName>
    <definedName name="OSRRefD21_9x_4" localSheetId="69">'325'!$H$56</definedName>
    <definedName name="OSRRefD21_9x_4" localSheetId="59">'326'!$H$82</definedName>
    <definedName name="OSRRefD21_9x_4" localSheetId="52">'330'!$H$79:$H$80</definedName>
    <definedName name="OSRRefD21_9x_4" localSheetId="57">'331'!$H$118</definedName>
    <definedName name="OSRRefD21_9x_4" localSheetId="60">'332'!$H$71:$H$75</definedName>
    <definedName name="OSRRefD21_9x_4" localSheetId="74">'405'!$H$58:$H$59</definedName>
    <definedName name="OSRRefD21_9x_4" localSheetId="76">'411'!$H$55:$H$58</definedName>
    <definedName name="OSRRefD21_9x_4" localSheetId="77">'412'!$H$57</definedName>
    <definedName name="OSRRefD21_9x_4" localSheetId="78">'413'!$H$60:$H$61</definedName>
    <definedName name="OSRRefD21_9x_4" localSheetId="79">'414'!$H$60</definedName>
    <definedName name="OSRRefD21_9x_4" localSheetId="80">'415'!$H$62</definedName>
    <definedName name="OSRRefD21_9x_4" localSheetId="81">'418'!$H$59:$H$60</definedName>
    <definedName name="OSRRefD21_9x_4" localSheetId="89">'433'!$H$62</definedName>
    <definedName name="OSRRefD21_9x_4" localSheetId="91">'444'!$H$62</definedName>
    <definedName name="OSRRefD21_9x_4" localSheetId="92">'450'!$H$58</definedName>
    <definedName name="OSRRefD21_9x_4" localSheetId="73">'491'!$H$66</definedName>
    <definedName name="OSRRefD21_9x_4" localSheetId="87">'492'!$H$62</definedName>
    <definedName name="OSRRefD21_9x_4" localSheetId="94">'501'!$H$58:$H$60</definedName>
    <definedName name="OSRRefD21_9x_4" localSheetId="39">'Div 2'!$H$56:$H$57</definedName>
    <definedName name="OSRRefD21_9x_4" localSheetId="47">'Div 3'!$H$166</definedName>
    <definedName name="OSRRefD21_9x_4" localSheetId="71">'Div 4'!$H$69</definedName>
    <definedName name="OSRRefD21_9x_4" localSheetId="93">'Div 5'!$H$58:$H$60</definedName>
    <definedName name="OSRRefD21_9x_4" localSheetId="62">'Div 6'!$H$89:$H$90</definedName>
    <definedName name="OSRRefD21_9x_4" localSheetId="2">Summary!$H$197</definedName>
    <definedName name="OSRRefD21_9x_5" localSheetId="41">'201'!$I$54</definedName>
    <definedName name="OSRRefD21_9x_5" localSheetId="42">'202'!$I$57:$I$58</definedName>
    <definedName name="OSRRefD21_9x_5" localSheetId="43">'203'!$I$57:$I$58</definedName>
    <definedName name="OSRRefD21_9x_5" localSheetId="44">'204'!$I$58</definedName>
    <definedName name="OSRRefD21_9x_5" localSheetId="48">'300'!$I$162</definedName>
    <definedName name="OSRRefD21_9x_5" localSheetId="49">'300 &amp; 317'!$I$186</definedName>
    <definedName name="OSRRefD21_9x_5" localSheetId="50">'301'!$I$58</definedName>
    <definedName name="OSRRefD21_9x_5" localSheetId="53">'307'!$I$75:$I$76</definedName>
    <definedName name="OSRRefD21_9x_5" localSheetId="54">'308'!$I$97:$I$99</definedName>
    <definedName name="OSRRefD21_9x_5" localSheetId="65">'309'!$I$57:$I$58</definedName>
    <definedName name="OSRRefD21_9x_5" localSheetId="64">'310'!$I$65</definedName>
    <definedName name="OSRRefD21_9x_5" localSheetId="72">'310 &amp; 491'!$I$73</definedName>
    <definedName name="OSRRefD21_9x_5" localSheetId="55">'311'!$I$96:$I$98</definedName>
    <definedName name="OSRRefD21_9x_5" localSheetId="58">'315'!$I$117:$I$118</definedName>
    <definedName name="OSRRefD21_9x_5" localSheetId="61">'316'!$I$69:$I$73</definedName>
    <definedName name="OSRRefD21_9x_5" localSheetId="63">'317'!$I$89:$I$90</definedName>
    <definedName name="OSRRefD21_9x_5" localSheetId="67">'321'!$I$60:$I$61</definedName>
    <definedName name="OSRRefD21_9x_5" localSheetId="68">'322'!$I$60</definedName>
    <definedName name="OSRRefD21_9x_5" localSheetId="69">'325'!$I$56</definedName>
    <definedName name="OSRRefD21_9x_5" localSheetId="59">'326'!$I$82</definedName>
    <definedName name="OSRRefD21_9x_5" localSheetId="52">'330'!$I$79:$I$80</definedName>
    <definedName name="OSRRefD21_9x_5" localSheetId="57">'331'!$I$118</definedName>
    <definedName name="OSRRefD21_9x_5" localSheetId="60">'332'!$I$71:$I$75</definedName>
    <definedName name="OSRRefD21_9x_5" localSheetId="74">'405'!$I$58:$I$59</definedName>
    <definedName name="OSRRefD21_9x_5" localSheetId="76">'411'!$I$55:$I$58</definedName>
    <definedName name="OSRRefD21_9x_5" localSheetId="77">'412'!$I$57</definedName>
    <definedName name="OSRRefD21_9x_5" localSheetId="78">'413'!$I$60:$I$61</definedName>
    <definedName name="OSRRefD21_9x_5" localSheetId="79">'414'!$I$60</definedName>
    <definedName name="OSRRefD21_9x_5" localSheetId="80">'415'!$I$62</definedName>
    <definedName name="OSRRefD21_9x_5" localSheetId="81">'418'!$I$59:$I$60</definedName>
    <definedName name="OSRRefD21_9x_5" localSheetId="89">'433'!$I$62</definedName>
    <definedName name="OSRRefD21_9x_5" localSheetId="91">'444'!$I$62</definedName>
    <definedName name="OSRRefD21_9x_5" localSheetId="92">'450'!$I$58</definedName>
    <definedName name="OSRRefD21_9x_5" localSheetId="73">'491'!$I$66</definedName>
    <definedName name="OSRRefD21_9x_5" localSheetId="87">'492'!$I$62</definedName>
    <definedName name="OSRRefD21_9x_5" localSheetId="94">'501'!$I$58:$I$60</definedName>
    <definedName name="OSRRefD21_9x_5" localSheetId="39">'Div 2'!$I$56:$I$57</definedName>
    <definedName name="OSRRefD21_9x_5" localSheetId="47">'Div 3'!$I$166</definedName>
    <definedName name="OSRRefD21_9x_5" localSheetId="71">'Div 4'!$I$69</definedName>
    <definedName name="OSRRefD21_9x_5" localSheetId="93">'Div 5'!$I$58:$I$60</definedName>
    <definedName name="OSRRefD21_9x_5" localSheetId="62">'Div 6'!$I$89:$I$90</definedName>
    <definedName name="OSRRefD21_9x_5" localSheetId="2">Summary!$I$197</definedName>
    <definedName name="OSRRefD21_9x_6" localSheetId="41">'201'!$J$54</definedName>
    <definedName name="OSRRefD21_9x_6" localSheetId="42">'202'!$J$57:$J$58</definedName>
    <definedName name="OSRRefD21_9x_6" localSheetId="43">'203'!$J$57:$J$58</definedName>
    <definedName name="OSRRefD21_9x_6" localSheetId="44">'204'!$J$58</definedName>
    <definedName name="OSRRefD21_9x_6" localSheetId="48">'300'!$J$162</definedName>
    <definedName name="OSRRefD21_9x_6" localSheetId="49">'300 &amp; 317'!$J$186</definedName>
    <definedName name="OSRRefD21_9x_6" localSheetId="50">'301'!$J$58</definedName>
    <definedName name="OSRRefD21_9x_6" localSheetId="53">'307'!$J$75:$J$76</definedName>
    <definedName name="OSRRefD21_9x_6" localSheetId="54">'308'!$J$97:$J$99</definedName>
    <definedName name="OSRRefD21_9x_6" localSheetId="65">'309'!$J$57:$J$58</definedName>
    <definedName name="OSRRefD21_9x_6" localSheetId="64">'310'!$J$65</definedName>
    <definedName name="OSRRefD21_9x_6" localSheetId="72">'310 &amp; 491'!$J$73</definedName>
    <definedName name="OSRRefD21_9x_6" localSheetId="55">'311'!$J$96:$J$98</definedName>
    <definedName name="OSRRefD21_9x_6" localSheetId="58">'315'!$J$117:$J$118</definedName>
    <definedName name="OSRRefD21_9x_6" localSheetId="61">'316'!$J$69:$J$73</definedName>
    <definedName name="OSRRefD21_9x_6" localSheetId="63">'317'!$J$89:$J$90</definedName>
    <definedName name="OSRRefD21_9x_6" localSheetId="67">'321'!$J$60:$J$61</definedName>
    <definedName name="OSRRefD21_9x_6" localSheetId="68">'322'!$J$60</definedName>
    <definedName name="OSRRefD21_9x_6" localSheetId="69">'325'!$J$56</definedName>
    <definedName name="OSRRefD21_9x_6" localSheetId="59">'326'!$J$82</definedName>
    <definedName name="OSRRefD21_9x_6" localSheetId="52">'330'!$J$79:$J$80</definedName>
    <definedName name="OSRRefD21_9x_6" localSheetId="57">'331'!$J$118</definedName>
    <definedName name="OSRRefD21_9x_6" localSheetId="60">'332'!$J$71:$J$75</definedName>
    <definedName name="OSRRefD21_9x_6" localSheetId="74">'405'!$J$58:$J$59</definedName>
    <definedName name="OSRRefD21_9x_6" localSheetId="76">'411'!$J$55:$J$58</definedName>
    <definedName name="OSRRefD21_9x_6" localSheetId="77">'412'!$J$57</definedName>
    <definedName name="OSRRefD21_9x_6" localSheetId="78">'413'!$J$60:$J$61</definedName>
    <definedName name="OSRRefD21_9x_6" localSheetId="79">'414'!$J$60</definedName>
    <definedName name="OSRRefD21_9x_6" localSheetId="80">'415'!$J$62</definedName>
    <definedName name="OSRRefD21_9x_6" localSheetId="81">'418'!$J$59:$J$60</definedName>
    <definedName name="OSRRefD21_9x_6" localSheetId="89">'433'!$J$62</definedName>
    <definedName name="OSRRefD21_9x_6" localSheetId="91">'444'!$J$62</definedName>
    <definedName name="OSRRefD21_9x_6" localSheetId="92">'450'!$J$58</definedName>
    <definedName name="OSRRefD21_9x_6" localSheetId="73">'491'!$J$66</definedName>
    <definedName name="OSRRefD21_9x_6" localSheetId="87">'492'!$J$62</definedName>
    <definedName name="OSRRefD21_9x_6" localSheetId="94">'501'!$J$58:$J$60</definedName>
    <definedName name="OSRRefD21_9x_6" localSheetId="39">'Div 2'!$J$56:$J$57</definedName>
    <definedName name="OSRRefD21_9x_6" localSheetId="47">'Div 3'!$J$166</definedName>
    <definedName name="OSRRefD21_9x_6" localSheetId="71">'Div 4'!$J$69</definedName>
    <definedName name="OSRRefD21_9x_6" localSheetId="93">'Div 5'!$J$58:$J$60</definedName>
    <definedName name="OSRRefD21_9x_6" localSheetId="62">'Div 6'!$J$89:$J$90</definedName>
    <definedName name="OSRRefD21_9x_6" localSheetId="2">Summary!$J$197</definedName>
    <definedName name="OSRRefD21_9x_7" localSheetId="41">'201'!$K$54</definedName>
    <definedName name="OSRRefD21_9x_7" localSheetId="42">'202'!$K$57:$K$58</definedName>
    <definedName name="OSRRefD21_9x_7" localSheetId="43">'203'!$K$57:$K$58</definedName>
    <definedName name="OSRRefD21_9x_7" localSheetId="44">'204'!$K$58</definedName>
    <definedName name="OSRRefD21_9x_7" localSheetId="48">'300'!$K$162</definedName>
    <definedName name="OSRRefD21_9x_7" localSheetId="49">'300 &amp; 317'!$K$186</definedName>
    <definedName name="OSRRefD21_9x_7" localSheetId="50">'301'!$K$58</definedName>
    <definedName name="OSRRefD21_9x_7" localSheetId="53">'307'!$K$75:$K$76</definedName>
    <definedName name="OSRRefD21_9x_7" localSheetId="54">'308'!$K$97:$K$99</definedName>
    <definedName name="OSRRefD21_9x_7" localSheetId="65">'309'!$K$57:$K$58</definedName>
    <definedName name="OSRRefD21_9x_7" localSheetId="64">'310'!$K$65</definedName>
    <definedName name="OSRRefD21_9x_7" localSheetId="72">'310 &amp; 491'!$K$73</definedName>
    <definedName name="OSRRefD21_9x_7" localSheetId="55">'311'!$K$96:$K$98</definedName>
    <definedName name="OSRRefD21_9x_7" localSheetId="58">'315'!$K$117:$K$118</definedName>
    <definedName name="OSRRefD21_9x_7" localSheetId="61">'316'!$K$69:$K$73</definedName>
    <definedName name="OSRRefD21_9x_7" localSheetId="63">'317'!$K$89:$K$90</definedName>
    <definedName name="OSRRefD21_9x_7" localSheetId="67">'321'!$K$60:$K$61</definedName>
    <definedName name="OSRRefD21_9x_7" localSheetId="68">'322'!$K$60</definedName>
    <definedName name="OSRRefD21_9x_7" localSheetId="69">'325'!$K$56</definedName>
    <definedName name="OSRRefD21_9x_7" localSheetId="59">'326'!$K$82</definedName>
    <definedName name="OSRRefD21_9x_7" localSheetId="52">'330'!$K$79:$K$80</definedName>
    <definedName name="OSRRefD21_9x_7" localSheetId="57">'331'!$K$118</definedName>
    <definedName name="OSRRefD21_9x_7" localSheetId="60">'332'!$K$71:$K$75</definedName>
    <definedName name="OSRRefD21_9x_7" localSheetId="74">'405'!$K$58:$K$59</definedName>
    <definedName name="OSRRefD21_9x_7" localSheetId="76">'411'!$K$55:$K$58</definedName>
    <definedName name="OSRRefD21_9x_7" localSheetId="77">'412'!$K$57</definedName>
    <definedName name="OSRRefD21_9x_7" localSheetId="78">'413'!$K$60:$K$61</definedName>
    <definedName name="OSRRefD21_9x_7" localSheetId="79">'414'!$K$60</definedName>
    <definedName name="OSRRefD21_9x_7" localSheetId="80">'415'!$K$62</definedName>
    <definedName name="OSRRefD21_9x_7" localSheetId="81">'418'!$K$59:$K$60</definedName>
    <definedName name="OSRRefD21_9x_7" localSheetId="89">'433'!$K$62</definedName>
    <definedName name="OSRRefD21_9x_7" localSheetId="91">'444'!$K$62</definedName>
    <definedName name="OSRRefD21_9x_7" localSheetId="92">'450'!$K$58</definedName>
    <definedName name="OSRRefD21_9x_7" localSheetId="73">'491'!$K$66</definedName>
    <definedName name="OSRRefD21_9x_7" localSheetId="87">'492'!$K$62</definedName>
    <definedName name="OSRRefD21_9x_7" localSheetId="94">'501'!$K$58:$K$60</definedName>
    <definedName name="OSRRefD21_9x_7" localSheetId="39">'Div 2'!$K$56:$K$57</definedName>
    <definedName name="OSRRefD21_9x_7" localSheetId="47">'Div 3'!$K$166</definedName>
    <definedName name="OSRRefD21_9x_7" localSheetId="71">'Div 4'!$K$69</definedName>
    <definedName name="OSRRefD21_9x_7" localSheetId="93">'Div 5'!$K$58:$K$60</definedName>
    <definedName name="OSRRefD21_9x_7" localSheetId="62">'Div 6'!$K$89:$K$90</definedName>
    <definedName name="OSRRefD21_9x_7" localSheetId="2">Summary!$K$197</definedName>
    <definedName name="OSRRefD21_9x_8" localSheetId="41">'201'!$L$54</definedName>
    <definedName name="OSRRefD21_9x_8" localSheetId="42">'202'!$L$57:$L$58</definedName>
    <definedName name="OSRRefD21_9x_8" localSheetId="43">'203'!$L$57:$L$58</definedName>
    <definedName name="OSRRefD21_9x_8" localSheetId="44">'204'!$L$58</definedName>
    <definedName name="OSRRefD21_9x_8" localSheetId="48">'300'!$L$162</definedName>
    <definedName name="OSRRefD21_9x_8" localSheetId="49">'300 &amp; 317'!$L$186</definedName>
    <definedName name="OSRRefD21_9x_8" localSheetId="50">'301'!$L$58</definedName>
    <definedName name="OSRRefD21_9x_8" localSheetId="53">'307'!$L$75:$L$76</definedName>
    <definedName name="OSRRefD21_9x_8" localSheetId="54">'308'!$L$97:$L$99</definedName>
    <definedName name="OSRRefD21_9x_8" localSheetId="65">'309'!$L$57:$L$58</definedName>
    <definedName name="OSRRefD21_9x_8" localSheetId="64">'310'!$L$65</definedName>
    <definedName name="OSRRefD21_9x_8" localSheetId="72">'310 &amp; 491'!$L$73</definedName>
    <definedName name="OSRRefD21_9x_8" localSheetId="55">'311'!$L$96:$L$98</definedName>
    <definedName name="OSRRefD21_9x_8" localSheetId="58">'315'!$L$117:$L$118</definedName>
    <definedName name="OSRRefD21_9x_8" localSheetId="61">'316'!$L$69:$L$73</definedName>
    <definedName name="OSRRefD21_9x_8" localSheetId="63">'317'!$L$89:$L$90</definedName>
    <definedName name="OSRRefD21_9x_8" localSheetId="67">'321'!$L$60:$L$61</definedName>
    <definedName name="OSRRefD21_9x_8" localSheetId="68">'322'!$L$60</definedName>
    <definedName name="OSRRefD21_9x_8" localSheetId="69">'325'!$L$56</definedName>
    <definedName name="OSRRefD21_9x_8" localSheetId="59">'326'!$L$82</definedName>
    <definedName name="OSRRefD21_9x_8" localSheetId="52">'330'!$L$79:$L$80</definedName>
    <definedName name="OSRRefD21_9x_8" localSheetId="57">'331'!$L$118</definedName>
    <definedName name="OSRRefD21_9x_8" localSheetId="60">'332'!$L$71:$L$75</definedName>
    <definedName name="OSRRefD21_9x_8" localSheetId="74">'405'!$L$58:$L$59</definedName>
    <definedName name="OSRRefD21_9x_8" localSheetId="76">'411'!$L$55:$L$58</definedName>
    <definedName name="OSRRefD21_9x_8" localSheetId="77">'412'!$L$57</definedName>
    <definedName name="OSRRefD21_9x_8" localSheetId="78">'413'!$L$60:$L$61</definedName>
    <definedName name="OSRRefD21_9x_8" localSheetId="79">'414'!$L$60</definedName>
    <definedName name="OSRRefD21_9x_8" localSheetId="80">'415'!$L$62</definedName>
    <definedName name="OSRRefD21_9x_8" localSheetId="81">'418'!$L$59:$L$60</definedName>
    <definedName name="OSRRefD21_9x_8" localSheetId="89">'433'!$L$62</definedName>
    <definedName name="OSRRefD21_9x_8" localSheetId="91">'444'!$L$62</definedName>
    <definedName name="OSRRefD21_9x_8" localSheetId="92">'450'!$L$58</definedName>
    <definedName name="OSRRefD21_9x_8" localSheetId="73">'491'!$L$66</definedName>
    <definedName name="OSRRefD21_9x_8" localSheetId="87">'492'!$L$62</definedName>
    <definedName name="OSRRefD21_9x_8" localSheetId="94">'501'!$L$58:$L$60</definedName>
    <definedName name="OSRRefD21_9x_8" localSheetId="39">'Div 2'!$L$56:$L$57</definedName>
    <definedName name="OSRRefD21_9x_8" localSheetId="47">'Div 3'!$L$166</definedName>
    <definedName name="OSRRefD21_9x_8" localSheetId="71">'Div 4'!$L$69</definedName>
    <definedName name="OSRRefD21_9x_8" localSheetId="93">'Div 5'!$L$58:$L$60</definedName>
    <definedName name="OSRRefD21_9x_8" localSheetId="62">'Div 6'!$L$89:$L$90</definedName>
    <definedName name="OSRRefD21_9x_8" localSheetId="2">Summary!$L$197</definedName>
    <definedName name="OSRRefD21_9x_9" localSheetId="41">'201'!$M$54</definedName>
    <definedName name="OSRRefD21_9x_9" localSheetId="42">'202'!$M$57:$M$58</definedName>
    <definedName name="OSRRefD21_9x_9" localSheetId="43">'203'!$M$57:$M$58</definedName>
    <definedName name="OSRRefD21_9x_9" localSheetId="44">'204'!$M$58</definedName>
    <definedName name="OSRRefD21_9x_9" localSheetId="48">'300'!$M$162</definedName>
    <definedName name="OSRRefD21_9x_9" localSheetId="49">'300 &amp; 317'!$M$186</definedName>
    <definedName name="OSRRefD21_9x_9" localSheetId="50">'301'!$M$58</definedName>
    <definedName name="OSRRefD21_9x_9" localSheetId="53">'307'!$M$75:$M$76</definedName>
    <definedName name="OSRRefD21_9x_9" localSheetId="54">'308'!$M$97:$M$99</definedName>
    <definedName name="OSRRefD21_9x_9" localSheetId="65">'309'!$M$57:$M$58</definedName>
    <definedName name="OSRRefD21_9x_9" localSheetId="64">'310'!$M$65</definedName>
    <definedName name="OSRRefD21_9x_9" localSheetId="72">'310 &amp; 491'!$M$73</definedName>
    <definedName name="OSRRefD21_9x_9" localSheetId="55">'311'!$M$96:$M$98</definedName>
    <definedName name="OSRRefD21_9x_9" localSheetId="58">'315'!$M$117:$M$118</definedName>
    <definedName name="OSRRefD21_9x_9" localSheetId="61">'316'!$M$69:$M$73</definedName>
    <definedName name="OSRRefD21_9x_9" localSheetId="63">'317'!$M$89:$M$90</definedName>
    <definedName name="OSRRefD21_9x_9" localSheetId="67">'321'!$M$60:$M$61</definedName>
    <definedName name="OSRRefD21_9x_9" localSheetId="68">'322'!$M$60</definedName>
    <definedName name="OSRRefD21_9x_9" localSheetId="69">'325'!$M$56</definedName>
    <definedName name="OSRRefD21_9x_9" localSheetId="59">'326'!$M$82</definedName>
    <definedName name="OSRRefD21_9x_9" localSheetId="52">'330'!$M$79:$M$80</definedName>
    <definedName name="OSRRefD21_9x_9" localSheetId="57">'331'!$M$118</definedName>
    <definedName name="OSRRefD21_9x_9" localSheetId="60">'332'!$M$71:$M$75</definedName>
    <definedName name="OSRRefD21_9x_9" localSheetId="74">'405'!$M$58:$M$59</definedName>
    <definedName name="OSRRefD21_9x_9" localSheetId="76">'411'!$M$55:$M$58</definedName>
    <definedName name="OSRRefD21_9x_9" localSheetId="77">'412'!$M$57</definedName>
    <definedName name="OSRRefD21_9x_9" localSheetId="78">'413'!$M$60:$M$61</definedName>
    <definedName name="OSRRefD21_9x_9" localSheetId="79">'414'!$M$60</definedName>
    <definedName name="OSRRefD21_9x_9" localSheetId="80">'415'!$M$62</definedName>
    <definedName name="OSRRefD21_9x_9" localSheetId="81">'418'!$M$59:$M$60</definedName>
    <definedName name="OSRRefD21_9x_9" localSheetId="89">'433'!$M$62</definedName>
    <definedName name="OSRRefD21_9x_9" localSheetId="91">'444'!$M$62</definedName>
    <definedName name="OSRRefD21_9x_9" localSheetId="92">'450'!$M$58</definedName>
    <definedName name="OSRRefD21_9x_9" localSheetId="73">'491'!$M$66</definedName>
    <definedName name="OSRRefD21_9x_9" localSheetId="87">'492'!$M$62</definedName>
    <definedName name="OSRRefD21_9x_9" localSheetId="94">'501'!$M$58:$M$60</definedName>
    <definedName name="OSRRefD21_9x_9" localSheetId="39">'Div 2'!$M$56:$M$57</definedName>
    <definedName name="OSRRefD21_9x_9" localSheetId="47">'Div 3'!$M$166</definedName>
    <definedName name="OSRRefD21_9x_9" localSheetId="71">'Div 4'!$M$69</definedName>
    <definedName name="OSRRefD21_9x_9" localSheetId="93">'Div 5'!$M$58:$M$60</definedName>
    <definedName name="OSRRefD21_9x_9" localSheetId="62">'Div 6'!$M$89:$M$90</definedName>
    <definedName name="OSRRefD21_9x_9" localSheetId="2">Summary!$M$197</definedName>
    <definedName name="OSRRefD23_0x" localSheetId="38">'100'!$D$19:$M$19</definedName>
    <definedName name="OSRRefD23_0x" localSheetId="40">'200'!$D$28:$M$28</definedName>
    <definedName name="OSRRefD23_0x" localSheetId="41">'201'!$D$72:$M$72</definedName>
    <definedName name="OSRRefD23_0x" localSheetId="42">'202'!$D$66:$M$66</definedName>
    <definedName name="OSRRefD23_0x" localSheetId="43">'203'!$D$72:$M$72</definedName>
    <definedName name="OSRRefD23_0x" localSheetId="44">'204'!$D$62:$M$62</definedName>
    <definedName name="OSRRefD23_0x" localSheetId="45">'205'!$D$54:$M$54</definedName>
    <definedName name="OSRRefD23_0x" localSheetId="46">'206'!$D$50:$M$50</definedName>
    <definedName name="OSRRefD23_0x" localSheetId="48">'300'!$D$218:$M$218</definedName>
    <definedName name="OSRRefD23_0x" localSheetId="49">'300 &amp; 317'!$D$242:$M$242</definedName>
    <definedName name="OSRRefD23_0x" localSheetId="50">'301'!$D$98:$M$98</definedName>
    <definedName name="OSRRefD23_0x" localSheetId="51">'306'!$D$54:$M$54</definedName>
    <definedName name="OSRRefD23_0x" localSheetId="53">'307'!$D$87:$M$87</definedName>
    <definedName name="OSRRefD23_0x" localSheetId="54">'308'!$D$113:$M$113</definedName>
    <definedName name="OSRRefD23_0x" localSheetId="65">'309'!$D$62:$M$62</definedName>
    <definedName name="OSRRefD23_0x" localSheetId="64">'310'!$D$92:$M$92</definedName>
    <definedName name="OSRRefD23_0x" localSheetId="72">'310 &amp; 491'!$D$119:$M$119</definedName>
    <definedName name="OSRRefD23_0x" localSheetId="55">'311'!$D$112:$M$112</definedName>
    <definedName name="OSRRefD23_0x" localSheetId="66">'313'!$D$55:$M$55</definedName>
    <definedName name="OSRRefD23_0x" localSheetId="58">'315'!$D$144:$M$144</definedName>
    <definedName name="OSRRefD23_0x" localSheetId="61">'316'!$D$79:$M$79</definedName>
    <definedName name="OSRRefD23_0x" localSheetId="63">'317'!$D$103:$M$103</definedName>
    <definedName name="OSRRefD23_0x" localSheetId="67">'321'!$D$68:$M$68</definedName>
    <definedName name="OSRRefD23_0x" localSheetId="68">'322'!$D$64:$M$64</definedName>
    <definedName name="OSRRefD23_0x" localSheetId="56">'324'!$D$46:$M$46</definedName>
    <definedName name="OSRRefD23_0x" localSheetId="69">'325'!$D$75:$M$75</definedName>
    <definedName name="OSRRefD23_0x" localSheetId="59">'326'!$D$116:$M$116</definedName>
    <definedName name="OSRRefD23_0x" localSheetId="70">'327'!$D$27:$M$27</definedName>
    <definedName name="OSRRefD23_0x" localSheetId="52">'330'!$D$91:$M$91</definedName>
    <definedName name="OSRRefD23_0x" localSheetId="57">'331'!$D$161:$M$161</definedName>
    <definedName name="OSRRefD23_0x" localSheetId="60">'332'!$D$81:$M$81</definedName>
    <definedName name="OSRRefD23_0x" localSheetId="74">'405'!$D$83:$M$83</definedName>
    <definedName name="OSRRefD23_0x" localSheetId="75">'406'!$D$29:$M$29</definedName>
    <definedName name="OSRRefD23_0x" localSheetId="76">'411'!$D$80:$M$80</definedName>
    <definedName name="OSRRefD23_0x" localSheetId="77">'412'!$D$74:$M$74</definedName>
    <definedName name="OSRRefD23_0x" localSheetId="78">'413'!$D$63:$M$63</definedName>
    <definedName name="OSRRefD23_0x" localSheetId="79">'414'!$D$72:$M$72</definedName>
    <definedName name="OSRRefD23_0x" localSheetId="80">'415'!$D$90:$M$90</definedName>
    <definedName name="OSRRefD23_0x" localSheetId="81">'418'!$D$76:$M$76</definedName>
    <definedName name="OSRRefD23_0x" localSheetId="82">'420'!$D$25:$M$25</definedName>
    <definedName name="OSRRefD23_0x" localSheetId="83">'423'!$D$50:$M$50</definedName>
    <definedName name="OSRRefD23_0x" localSheetId="84">'424'!$D$27:$M$27</definedName>
    <definedName name="OSRRefD23_0x" localSheetId="85">'425'!$D$37:$M$37</definedName>
    <definedName name="OSRRefD23_0x" localSheetId="88">'430'!$D$55:$M$55</definedName>
    <definedName name="OSRRefD23_0x" localSheetId="89">'433'!$D$86:$M$86</definedName>
    <definedName name="OSRRefD23_0x" localSheetId="90">'435'!$D$21:$M$21</definedName>
    <definedName name="OSRRefD23_0x" localSheetId="91">'444'!$D$92:$M$92</definedName>
    <definedName name="OSRRefD23_0x" localSheetId="92">'450'!$D$81:$M$81</definedName>
    <definedName name="OSRRefD23_0x" localSheetId="86">'455'!$D$19:$M$19</definedName>
    <definedName name="OSRRefD23_0x" localSheetId="73">'491'!$D$112:$M$112</definedName>
    <definedName name="OSRRefD23_0x" localSheetId="87">'492'!$D$98:$M$98</definedName>
    <definedName name="OSRRefD23_0x" localSheetId="94">'501'!$D$67:$M$67</definedName>
    <definedName name="OSRRefD23_0x" localSheetId="37">'Div 1'!$D$19:$M$19</definedName>
    <definedName name="OSRRefD23_0x" localSheetId="39">'Div 2'!$D$92:$M$92</definedName>
    <definedName name="OSRRefD23_0x" localSheetId="47">'Div 3'!$D$224:$M$224</definedName>
    <definedName name="OSRRefD23_0x" localSheetId="71">'Div 4'!$D$121:$M$121</definedName>
    <definedName name="OSRRefD23_0x" localSheetId="93">'Div 5'!$D$67:$M$67</definedName>
    <definedName name="OSRRefD23_0x" localSheetId="62">'Div 6'!$D$103:$M$103</definedName>
    <definedName name="OSRRefD23_0x" localSheetId="2">Summary!$D$260:$M$260</definedName>
    <definedName name="OSRRefD28_0x" localSheetId="38">'100'!$D$24:$M$24</definedName>
    <definedName name="OSRRefD28_0x" localSheetId="40">'200'!$D$33:$M$33</definedName>
    <definedName name="OSRRefD28_0x" localSheetId="41">'201'!$D$77:$M$77</definedName>
    <definedName name="OSRRefD28_0x" localSheetId="42">'202'!$D$71:$M$71</definedName>
    <definedName name="OSRRefD28_0x" localSheetId="43">'203'!$D$77:$M$77</definedName>
    <definedName name="OSRRefD28_0x" localSheetId="44">'204'!$D$67:$M$67</definedName>
    <definedName name="OSRRefD28_0x" localSheetId="45">'205'!$D$59:$M$59</definedName>
    <definedName name="OSRRefD28_0x" localSheetId="46">'206'!$D$55:$M$55</definedName>
    <definedName name="OSRRefD28_0x" localSheetId="48">'300'!$D$223:$M$223</definedName>
    <definedName name="OSRRefD28_0x" localSheetId="49">'300 &amp; 317'!$D$247:$M$247</definedName>
    <definedName name="OSRRefD28_0x" localSheetId="50">'301'!$D$103:$M$103</definedName>
    <definedName name="OSRRefD28_0x" localSheetId="51">'306'!$D$59:$M$59</definedName>
    <definedName name="OSRRefD28_0x" localSheetId="53">'307'!$D$92:$M$92</definedName>
    <definedName name="OSRRefD28_0x" localSheetId="54">'308'!$D$118:$M$118</definedName>
    <definedName name="OSRRefD28_0x" localSheetId="65">'309'!$D$67:$M$67</definedName>
    <definedName name="OSRRefD28_0x" localSheetId="64">'310'!$D$97:$M$97</definedName>
    <definedName name="OSRRefD28_0x" localSheetId="72">'310 &amp; 491'!$D$124:$M$124</definedName>
    <definedName name="OSRRefD28_0x" localSheetId="55">'311'!$D$117:$M$117</definedName>
    <definedName name="OSRRefD28_0x" localSheetId="66">'313'!$D$60:$M$60</definedName>
    <definedName name="OSRRefD28_0x" localSheetId="58">'315'!$D$149:$M$149</definedName>
    <definedName name="OSRRefD28_0x" localSheetId="61">'316'!$D$84:$M$84</definedName>
    <definedName name="OSRRefD28_0x" localSheetId="63">'317'!$D$108:$M$108</definedName>
    <definedName name="OSRRefD28_0x" localSheetId="67">'321'!$D$73:$M$73</definedName>
    <definedName name="OSRRefD28_0x" localSheetId="68">'322'!$D$69:$M$69</definedName>
    <definedName name="OSRRefD28_0x" localSheetId="56">'324'!$D$51:$M$51</definedName>
    <definedName name="OSRRefD28_0x" localSheetId="69">'325'!$D$80:$M$80</definedName>
    <definedName name="OSRRefD28_0x" localSheetId="59">'326'!$D$121:$M$121</definedName>
    <definedName name="OSRRefD28_0x" localSheetId="70">'327'!$D$32:$M$32</definedName>
    <definedName name="OSRRefD28_0x" localSheetId="52">'330'!$D$96:$M$96</definedName>
    <definedName name="OSRRefD28_0x" localSheetId="57">'331'!$D$166:$M$166</definedName>
    <definedName name="OSRRefD28_0x" localSheetId="60">'332'!$D$86:$M$86</definedName>
    <definedName name="OSRRefD28_0x" localSheetId="74">'405'!$D$88:$M$88</definedName>
    <definedName name="OSRRefD28_0x" localSheetId="75">'406'!$D$34:$M$34</definedName>
    <definedName name="OSRRefD28_0x" localSheetId="76">'411'!$D$85:$M$85</definedName>
    <definedName name="OSRRefD28_0x" localSheetId="77">'412'!$D$79:$M$79</definedName>
    <definedName name="OSRRefD28_0x" localSheetId="78">'413'!$D$68:$M$68</definedName>
    <definedName name="OSRRefD28_0x" localSheetId="79">'414'!$D$77:$M$77</definedName>
    <definedName name="OSRRefD28_0x" localSheetId="80">'415'!$D$95:$M$95</definedName>
    <definedName name="OSRRefD28_0x" localSheetId="81">'418'!$D$81:$M$81</definedName>
    <definedName name="OSRRefD28_0x" localSheetId="82">'420'!$D$30:$M$30</definedName>
    <definedName name="OSRRefD28_0x" localSheetId="83">'423'!$D$55:$M$55</definedName>
    <definedName name="OSRRefD28_0x" localSheetId="84">'424'!$D$32:$M$32</definedName>
    <definedName name="OSRRefD28_0x" localSheetId="85">'425'!$D$42:$M$42</definedName>
    <definedName name="OSRRefD28_0x" localSheetId="88">'430'!$D$60:$M$60</definedName>
    <definedName name="OSRRefD28_0x" localSheetId="89">'433'!$D$91:$M$91</definedName>
    <definedName name="OSRRefD28_0x" localSheetId="90">'435'!$D$26:$M$26</definedName>
    <definedName name="OSRRefD28_0x" localSheetId="91">'444'!$D$97:$M$97</definedName>
    <definedName name="OSRRefD28_0x" localSheetId="92">'450'!$D$86:$M$86</definedName>
    <definedName name="OSRRefD28_0x" localSheetId="86">'455'!$D$24:$M$24</definedName>
    <definedName name="OSRRefD28_0x" localSheetId="73">'491'!$D$117:$M$117</definedName>
    <definedName name="OSRRefD28_0x" localSheetId="87">'492'!$D$103:$M$103</definedName>
    <definedName name="OSRRefD28_0x" localSheetId="94">'501'!$D$72:$M$72</definedName>
    <definedName name="OSRRefD28_0x" localSheetId="47">'Div 3'!$D$229:$M$229</definedName>
    <definedName name="OSRRefD28_0x" localSheetId="71">'Div 4'!$D$126:$M$126</definedName>
    <definedName name="OSRRefD28_0x" localSheetId="93">'Div 5'!$D$72:$M$72</definedName>
    <definedName name="OSRRefD28_0x" localSheetId="62">'Div 6'!$D$108:$M$108</definedName>
    <definedName name="OSRRefD28_0x" localSheetId="2">Summary!$D$265:$M$265</definedName>
    <definedName name="OSRRefD33_0x" localSheetId="38">'100'!$D$29:$M$29</definedName>
    <definedName name="OSRRefD33_0x" localSheetId="37">'Div 1'!$D$28:$M$28</definedName>
    <definedName name="OSRRefD33_0x" localSheetId="2">Summary!$D$270:$M$270</definedName>
    <definedName name="OSRRefD34_0x" localSheetId="38">'100'!$D$30:$M$30</definedName>
    <definedName name="OSRRefD34_0x" localSheetId="37">'Div 1'!$D$29:$M$29</definedName>
    <definedName name="OSRRefD34_0x" localSheetId="2">Summary!$D$271:$M$271</definedName>
    <definedName name="OSRRefE11_0x" localSheetId="48">'300'!$N$11:$O$11</definedName>
    <definedName name="OSRRefE11_0x" localSheetId="49">'300 &amp; 317'!$N$11:$O$11</definedName>
    <definedName name="OSRRefE11_0x" localSheetId="53">'307'!$N$11:$O$11</definedName>
    <definedName name="OSRRefE11_0x" localSheetId="54">'308'!$N$11:$O$11</definedName>
    <definedName name="OSRRefE11_0x" localSheetId="65">'309'!$N$11:$O$11</definedName>
    <definedName name="OSRRefE11_0x" localSheetId="64">'310'!$N$11:$O$11</definedName>
    <definedName name="OSRRefE11_0x" localSheetId="72">'310 &amp; 491'!$N$11:$O$11</definedName>
    <definedName name="OSRRefE11_0x" localSheetId="55">'311'!$N$11:$O$11</definedName>
    <definedName name="OSRRefE11_0x" localSheetId="66">'313'!$N$11:$O$11</definedName>
    <definedName name="OSRRefE11_0x" localSheetId="58">'315'!$N$11:$O$11</definedName>
    <definedName name="OSRRefE11_0x" localSheetId="61">'316'!$N$11:$O$11</definedName>
    <definedName name="OSRRefE11_0x" localSheetId="63">'317'!$N$11:$O$11</definedName>
    <definedName name="OSRRefE11_0x" localSheetId="67">'321'!$N$11:$O$11</definedName>
    <definedName name="OSRRefE11_0x" localSheetId="68">'322'!$N$11:$O$11</definedName>
    <definedName name="OSRRefE11_0x" localSheetId="56">'324'!$N$11:$O$11</definedName>
    <definedName name="OSRRefE11_0x" localSheetId="59">'326'!$N$11:$O$11</definedName>
    <definedName name="OSRRefE11_0x" localSheetId="70">'327'!$N$11:$O$11</definedName>
    <definedName name="OSRRefE11_0x" localSheetId="52">'330'!$N$11:$O$11</definedName>
    <definedName name="OSRRefE11_0x" localSheetId="57">'331'!$N$11:$O$11</definedName>
    <definedName name="OSRRefE11_0x" localSheetId="60">'332'!$N$11:$O$11</definedName>
    <definedName name="OSRRefE11_0x" localSheetId="74">'405'!$N$11:$O$11</definedName>
    <definedName name="OSRRefE11_0x" localSheetId="77">'412'!$N$11:$O$11</definedName>
    <definedName name="OSRRefE11_0x" localSheetId="78">'413'!$N$11:$O$11</definedName>
    <definedName name="OSRRefE11_0x" localSheetId="79">'414'!$N$11:$O$11</definedName>
    <definedName name="OSRRefE11_0x" localSheetId="80">'415'!$N$11:$O$11</definedName>
    <definedName name="OSRRefE11_0x" localSheetId="81">'418'!$N$11:$O$11</definedName>
    <definedName name="OSRRefE11_0x" localSheetId="82">'420'!$N$11:$O$11</definedName>
    <definedName name="OSRRefE11_0x" localSheetId="89">'433'!$N$11:$O$11</definedName>
    <definedName name="OSRRefE11_0x" localSheetId="91">'444'!$N$11:$O$11</definedName>
    <definedName name="OSRRefE11_0x" localSheetId="92">'450'!$N$11:$O$11</definedName>
    <definedName name="OSRRefE11_0x" localSheetId="73">'491'!$N$11:$O$11</definedName>
    <definedName name="OSRRefE11_0x" localSheetId="87">'492'!$N$11:$O$11</definedName>
    <definedName name="OSRRefE11_0x" localSheetId="94">'501'!$N$11:$O$11</definedName>
    <definedName name="OSRRefE11_0x" localSheetId="47">'Div 3'!$N$11:$O$11</definedName>
    <definedName name="OSRRefE11_0x" localSheetId="71">'Div 4'!$N$11:$O$11</definedName>
    <definedName name="OSRRefE11_0x" localSheetId="93">'Div 5'!$N$11:$O$11</definedName>
    <definedName name="OSRRefE11_0x" localSheetId="62">'Div 6'!$N$11:$O$11</definedName>
    <definedName name="OSRRefE11_0x" localSheetId="2">Summary!$N$11:$O$11</definedName>
    <definedName name="OSRRefE11_10x" localSheetId="48">'300'!$N$21:$O$21</definedName>
    <definedName name="OSRRefE11_10x" localSheetId="49">'300 &amp; 317'!$N$21:$O$21</definedName>
    <definedName name="OSRRefE11_10x" localSheetId="53">'307'!$N$21:$O$21</definedName>
    <definedName name="OSRRefE11_10x" localSheetId="54">'308'!$N$21:$O$21</definedName>
    <definedName name="OSRRefE11_10x" localSheetId="72">'310 &amp; 491'!$N$21:$O$21</definedName>
    <definedName name="OSRRefE11_10x" localSheetId="55">'311'!$N$21:$O$21</definedName>
    <definedName name="OSRRefE11_10x" localSheetId="58">'315'!$N$21:$O$21</definedName>
    <definedName name="OSRRefE11_10x" localSheetId="61">'316'!$N$21:$O$21</definedName>
    <definedName name="OSRRefE11_10x" localSheetId="63">'317'!$N$21:$O$21</definedName>
    <definedName name="OSRRefE11_10x" localSheetId="59">'326'!$N$21:$O$21</definedName>
    <definedName name="OSRRefE11_10x" localSheetId="52">'330'!$N$21:$O$21</definedName>
    <definedName name="OSRRefE11_10x" localSheetId="57">'331'!$N$21:$O$21</definedName>
    <definedName name="OSRRefE11_10x" localSheetId="60">'332'!$N$21:$O$21</definedName>
    <definedName name="OSRRefE11_10x" localSheetId="47">'Div 3'!$N$21:$O$21</definedName>
    <definedName name="OSRRefE11_10x" localSheetId="62">'Div 6'!$N$21:$O$21</definedName>
    <definedName name="OSRRefE11_10x" localSheetId="2">Summary!$N$21:$O$21</definedName>
    <definedName name="OSRRefE11_11x" localSheetId="48">'300'!$N$22:$O$22</definedName>
    <definedName name="OSRRefE11_11x" localSheetId="49">'300 &amp; 317'!$N$22:$O$22</definedName>
    <definedName name="OSRRefE11_11x" localSheetId="54">'308'!$N$22:$O$22</definedName>
    <definedName name="OSRRefE11_11x" localSheetId="72">'310 &amp; 491'!$N$22:$O$22</definedName>
    <definedName name="OSRRefE11_11x" localSheetId="55">'311'!$N$22:$O$22</definedName>
    <definedName name="OSRRefE11_11x" localSheetId="58">'315'!$N$22:$O$22</definedName>
    <definedName name="OSRRefE11_11x" localSheetId="61">'316'!$N$22:$O$22</definedName>
    <definedName name="OSRRefE11_11x" localSheetId="63">'317'!$N$22:$O$22</definedName>
    <definedName name="OSRRefE11_11x" localSheetId="59">'326'!$N$22:$O$22</definedName>
    <definedName name="OSRRefE11_11x" localSheetId="52">'330'!$N$22:$O$22</definedName>
    <definedName name="OSRRefE11_11x" localSheetId="57">'331'!$N$22:$O$22</definedName>
    <definedName name="OSRRefE11_11x" localSheetId="60">'332'!$N$22:$O$22</definedName>
    <definedName name="OSRRefE11_11x" localSheetId="47">'Div 3'!$N$22:$O$22</definedName>
    <definedName name="OSRRefE11_11x" localSheetId="62">'Div 6'!$N$22:$O$22</definedName>
    <definedName name="OSRRefE11_11x" localSheetId="2">Summary!$N$22:$O$22</definedName>
    <definedName name="OSRRefE11_12x" localSheetId="48">'300'!$N$23:$O$23</definedName>
    <definedName name="OSRRefE11_12x" localSheetId="49">'300 &amp; 317'!$N$23:$O$23</definedName>
    <definedName name="OSRRefE11_12x" localSheetId="54">'308'!$N$23:$O$23</definedName>
    <definedName name="OSRRefE11_12x" localSheetId="72">'310 &amp; 491'!$N$23:$O$23</definedName>
    <definedName name="OSRRefE11_12x" localSheetId="55">'311'!$N$23:$O$23</definedName>
    <definedName name="OSRRefE11_12x" localSheetId="58">'315'!$N$23:$O$23</definedName>
    <definedName name="OSRRefE11_12x" localSheetId="63">'317'!$N$23:$O$23</definedName>
    <definedName name="OSRRefE11_12x" localSheetId="59">'326'!$N$23:$O$23</definedName>
    <definedName name="OSRRefE11_12x" localSheetId="52">'330'!$N$23:$O$23</definedName>
    <definedName name="OSRRefE11_12x" localSheetId="57">'331'!$N$23:$O$23</definedName>
    <definedName name="OSRRefE11_12x" localSheetId="47">'Div 3'!$N$23:$O$23</definedName>
    <definedName name="OSRRefE11_12x" localSheetId="62">'Div 6'!$N$23:$O$23</definedName>
    <definedName name="OSRRefE11_12x" localSheetId="2">Summary!$N$23:$O$23</definedName>
    <definedName name="OSRRefE11_13x" localSheetId="48">'300'!$N$24:$O$24</definedName>
    <definedName name="OSRRefE11_13x" localSheetId="49">'300 &amp; 317'!$N$24:$O$24</definedName>
    <definedName name="OSRRefE11_13x" localSheetId="54">'308'!$N$24:$O$24</definedName>
    <definedName name="OSRRefE11_13x" localSheetId="55">'311'!$N$24:$O$24</definedName>
    <definedName name="OSRRefE11_13x" localSheetId="58">'315'!$N$24:$O$24</definedName>
    <definedName name="OSRRefE11_13x" localSheetId="63">'317'!$N$24:$O$24</definedName>
    <definedName name="OSRRefE11_13x" localSheetId="59">'326'!$N$24:$O$24</definedName>
    <definedName name="OSRRefE11_13x" localSheetId="52">'330'!$N$24:$O$24</definedName>
    <definedName name="OSRRefE11_13x" localSheetId="57">'331'!$N$24:$O$24</definedName>
    <definedName name="OSRRefE11_13x" localSheetId="47">'Div 3'!$N$24:$O$24</definedName>
    <definedName name="OSRRefE11_13x" localSheetId="62">'Div 6'!$N$24:$O$24</definedName>
    <definedName name="OSRRefE11_13x" localSheetId="2">Summary!$N$24:$O$24</definedName>
    <definedName name="OSRRefE11_14x" localSheetId="48">'300'!$N$25:$O$25</definedName>
    <definedName name="OSRRefE11_14x" localSheetId="49">'300 &amp; 317'!$N$25:$O$25</definedName>
    <definedName name="OSRRefE11_14x" localSheetId="54">'308'!$N$25:$O$25</definedName>
    <definedName name="OSRRefE11_14x" localSheetId="55">'311'!$N$25:$O$25</definedName>
    <definedName name="OSRRefE11_14x" localSheetId="58">'315'!$N$25:$O$25</definedName>
    <definedName name="OSRRefE11_14x" localSheetId="63">'317'!$N$25:$O$25</definedName>
    <definedName name="OSRRefE11_14x" localSheetId="59">'326'!$N$25:$O$25</definedName>
    <definedName name="OSRRefE11_14x" localSheetId="57">'331'!$N$25:$O$25</definedName>
    <definedName name="OSRRefE11_14x" localSheetId="47">'Div 3'!$N$25:$O$25</definedName>
    <definedName name="OSRRefE11_14x" localSheetId="62">'Div 6'!$N$25:$O$25</definedName>
    <definedName name="OSRRefE11_14x" localSheetId="2">Summary!$N$25:$O$25</definedName>
    <definedName name="OSRRefE11_15x" localSheetId="48">'300'!$N$26:$O$26</definedName>
    <definedName name="OSRRefE11_15x" localSheetId="49">'300 &amp; 317'!$N$26:$O$26</definedName>
    <definedName name="OSRRefE11_15x" localSheetId="54">'308'!$N$26:$O$26</definedName>
    <definedName name="OSRRefE11_15x" localSheetId="55">'311'!$N$26:$O$26</definedName>
    <definedName name="OSRRefE11_15x" localSheetId="58">'315'!$N$26:$O$26</definedName>
    <definedName name="OSRRefE11_15x" localSheetId="63">'317'!$N$26:$O$26</definedName>
    <definedName name="OSRRefE11_15x" localSheetId="59">'326'!$N$26:$O$26</definedName>
    <definedName name="OSRRefE11_15x" localSheetId="57">'331'!$N$26:$O$26</definedName>
    <definedName name="OSRRefE11_15x" localSheetId="47">'Div 3'!$N$26:$O$26</definedName>
    <definedName name="OSRRefE11_15x" localSheetId="62">'Div 6'!$N$26:$O$26</definedName>
    <definedName name="OSRRefE11_15x" localSheetId="2">Summary!$N$26:$O$26</definedName>
    <definedName name="OSRRefE11_16x" localSheetId="48">'300'!$N$27:$O$27</definedName>
    <definedName name="OSRRefE11_16x" localSheetId="49">'300 &amp; 317'!$N$27:$O$27</definedName>
    <definedName name="OSRRefE11_16x" localSheetId="54">'308'!$N$27:$O$27</definedName>
    <definedName name="OSRRefE11_16x" localSheetId="55">'311'!$N$27:$O$27</definedName>
    <definedName name="OSRRefE11_16x" localSheetId="58">'315'!$N$27:$O$27</definedName>
    <definedName name="OSRRefE11_16x" localSheetId="63">'317'!$N$27:$O$27</definedName>
    <definedName name="OSRRefE11_16x" localSheetId="59">'326'!$N$27:$O$27</definedName>
    <definedName name="OSRRefE11_16x" localSheetId="57">'331'!$N$27:$O$27</definedName>
    <definedName name="OSRRefE11_16x" localSheetId="47">'Div 3'!$N$27:$O$27</definedName>
    <definedName name="OSRRefE11_16x" localSheetId="62">'Div 6'!$N$27:$O$27</definedName>
    <definedName name="OSRRefE11_16x" localSheetId="2">Summary!$N$27:$O$27</definedName>
    <definedName name="OSRRefE11_17x" localSheetId="48">'300'!$N$28:$O$28</definedName>
    <definedName name="OSRRefE11_17x" localSheetId="49">'300 &amp; 317'!$N$28:$O$28</definedName>
    <definedName name="OSRRefE11_17x" localSheetId="54">'308'!$N$28:$O$28</definedName>
    <definedName name="OSRRefE11_17x" localSheetId="55">'311'!$N$28:$O$28</definedName>
    <definedName name="OSRRefE11_17x" localSheetId="58">'315'!$N$28:$O$28</definedName>
    <definedName name="OSRRefE11_17x" localSheetId="63">'317'!$N$28:$O$28</definedName>
    <definedName name="OSRRefE11_17x" localSheetId="59">'326'!$N$28:$O$28</definedName>
    <definedName name="OSRRefE11_17x" localSheetId="57">'331'!$N$28:$O$28</definedName>
    <definedName name="OSRRefE11_17x" localSheetId="47">'Div 3'!$N$28:$O$28</definedName>
    <definedName name="OSRRefE11_17x" localSheetId="62">'Div 6'!$N$28:$O$28</definedName>
    <definedName name="OSRRefE11_17x" localSheetId="2">Summary!$N$28:$O$28</definedName>
    <definedName name="OSRRefE11_18x" localSheetId="48">'300'!$N$29:$O$29</definedName>
    <definedName name="OSRRefE11_18x" localSheetId="49">'300 &amp; 317'!$N$29:$O$29</definedName>
    <definedName name="OSRRefE11_18x" localSheetId="54">'308'!$N$29:$O$29</definedName>
    <definedName name="OSRRefE11_18x" localSheetId="55">'311'!$N$29:$O$29</definedName>
    <definedName name="OSRRefE11_18x" localSheetId="58">'315'!$N$29:$O$29</definedName>
    <definedName name="OSRRefE11_18x" localSheetId="63">'317'!$N$29:$O$29</definedName>
    <definedName name="OSRRefE11_18x" localSheetId="59">'326'!$N$29:$O$29</definedName>
    <definedName name="OSRRefE11_18x" localSheetId="57">'331'!$N$29:$O$29</definedName>
    <definedName name="OSRRefE11_18x" localSheetId="47">'Div 3'!$N$29:$O$29</definedName>
    <definedName name="OSRRefE11_18x" localSheetId="62">'Div 6'!$N$29:$O$29</definedName>
    <definedName name="OSRRefE11_18x" localSheetId="2">Summary!$N$29:$O$29</definedName>
    <definedName name="OSRRefE11_19x" localSheetId="48">'300'!$N$30:$O$30</definedName>
    <definedName name="OSRRefE11_19x" localSheetId="49">'300 &amp; 317'!$N$30:$O$30</definedName>
    <definedName name="OSRRefE11_19x" localSheetId="54">'308'!$N$30:$O$30</definedName>
    <definedName name="OSRRefE11_19x" localSheetId="55">'311'!$N$30:$O$30</definedName>
    <definedName name="OSRRefE11_19x" localSheetId="58">'315'!$N$30:$O$30</definedName>
    <definedName name="OSRRefE11_19x" localSheetId="59">'326'!$N$30:$O$30</definedName>
    <definedName name="OSRRefE11_19x" localSheetId="57">'331'!$N$30:$O$30</definedName>
    <definedName name="OSRRefE11_19x" localSheetId="47">'Div 3'!$N$30:$O$30</definedName>
    <definedName name="OSRRefE11_19x" localSheetId="2">Summary!$N$30:$O$30</definedName>
    <definedName name="OSRRefE11_1x" localSheetId="48">'300'!$N$12:$O$12</definedName>
    <definedName name="OSRRefE11_1x" localSheetId="49">'300 &amp; 317'!$N$12:$O$12</definedName>
    <definedName name="OSRRefE11_1x" localSheetId="53">'307'!$N$12:$O$12</definedName>
    <definedName name="OSRRefE11_1x" localSheetId="54">'308'!$N$12:$O$12</definedName>
    <definedName name="OSRRefE11_1x" localSheetId="64">'310'!$N$12:$O$12</definedName>
    <definedName name="OSRRefE11_1x" localSheetId="72">'310 &amp; 491'!$N$12:$O$12</definedName>
    <definedName name="OSRRefE11_1x" localSheetId="55">'311'!$N$12:$O$12</definedName>
    <definedName name="OSRRefE11_1x" localSheetId="66">'313'!$N$12:$O$12</definedName>
    <definedName name="OSRRefE11_1x" localSheetId="58">'315'!$N$12:$O$12</definedName>
    <definedName name="OSRRefE11_1x" localSheetId="61">'316'!$N$12:$O$12</definedName>
    <definedName name="OSRRefE11_1x" localSheetId="63">'317'!$N$12:$O$12</definedName>
    <definedName name="OSRRefE11_1x" localSheetId="67">'321'!$N$12:$O$12</definedName>
    <definedName name="OSRRefE11_1x" localSheetId="56">'324'!$N$12:$O$12</definedName>
    <definedName name="OSRRefE11_1x" localSheetId="59">'326'!$N$12:$O$12</definedName>
    <definedName name="OSRRefE11_1x" localSheetId="70">'327'!$N$12:$O$12</definedName>
    <definedName name="OSRRefE11_1x" localSheetId="52">'330'!$N$12:$O$12</definedName>
    <definedName name="OSRRefE11_1x" localSheetId="57">'331'!$N$12:$O$12</definedName>
    <definedName name="OSRRefE11_1x" localSheetId="60">'332'!$N$12:$O$12</definedName>
    <definedName name="OSRRefE11_1x" localSheetId="74">'405'!$N$12:$O$12</definedName>
    <definedName name="OSRRefE11_1x" localSheetId="78">'413'!$N$12:$O$12</definedName>
    <definedName name="OSRRefE11_1x" localSheetId="79">'414'!$N$12:$O$12</definedName>
    <definedName name="OSRRefE11_1x" localSheetId="80">'415'!$N$12:$O$12</definedName>
    <definedName name="OSRRefE11_1x" localSheetId="81">'418'!$N$12:$O$12</definedName>
    <definedName name="OSRRefE11_1x" localSheetId="82">'420'!$N$12:$O$12</definedName>
    <definedName name="OSRRefE11_1x" localSheetId="89">'433'!$N$12:$O$12</definedName>
    <definedName name="OSRRefE11_1x" localSheetId="91">'444'!$N$12:$O$12</definedName>
    <definedName name="OSRRefE11_1x" localSheetId="92">'450'!$N$12:$O$12</definedName>
    <definedName name="OSRRefE11_1x" localSheetId="73">'491'!$N$12:$O$12</definedName>
    <definedName name="OSRRefE11_1x" localSheetId="87">'492'!$N$12:$O$12</definedName>
    <definedName name="OSRRefE11_1x" localSheetId="94">'501'!$N$12:$O$12</definedName>
    <definedName name="OSRRefE11_1x" localSheetId="47">'Div 3'!$N$12:$O$12</definedName>
    <definedName name="OSRRefE11_1x" localSheetId="71">'Div 4'!$N$12:$O$12</definedName>
    <definedName name="OSRRefE11_1x" localSheetId="93">'Div 5'!$N$12:$O$12</definedName>
    <definedName name="OSRRefE11_1x" localSheetId="62">'Div 6'!$N$12:$O$12</definedName>
    <definedName name="OSRRefE11_1x" localSheetId="2">Summary!$N$12:$O$12</definedName>
    <definedName name="OSRRefE11_20x" localSheetId="48">'300'!$N$31:$O$31</definedName>
    <definedName name="OSRRefE11_20x" localSheetId="49">'300 &amp; 317'!$N$31:$O$31</definedName>
    <definedName name="OSRRefE11_20x" localSheetId="54">'308'!$N$31:$O$31</definedName>
    <definedName name="OSRRefE11_20x" localSheetId="55">'311'!$N$31:$O$31</definedName>
    <definedName name="OSRRefE11_20x" localSheetId="58">'315'!$N$31:$O$31</definedName>
    <definedName name="OSRRefE11_20x" localSheetId="59">'326'!$N$31:$O$31</definedName>
    <definedName name="OSRRefE11_20x" localSheetId="57">'331'!$N$31:$O$31</definedName>
    <definedName name="OSRRefE11_20x" localSheetId="47">'Div 3'!$N$31:$O$31</definedName>
    <definedName name="OSRRefE11_20x" localSheetId="2">Summary!$N$31:$O$31</definedName>
    <definedName name="OSRRefE11_21x" localSheetId="48">'300'!$N$32:$O$32</definedName>
    <definedName name="OSRRefE11_21x" localSheetId="49">'300 &amp; 317'!$N$32:$O$32</definedName>
    <definedName name="OSRRefE11_21x" localSheetId="54">'308'!$N$32:$O$32</definedName>
    <definedName name="OSRRefE11_21x" localSheetId="55">'311'!$N$32:$O$32</definedName>
    <definedName name="OSRRefE11_21x" localSheetId="58">'315'!$N$32:$O$32</definedName>
    <definedName name="OSRRefE11_21x" localSheetId="57">'331'!$N$32:$O$32</definedName>
    <definedName name="OSRRefE11_21x" localSheetId="47">'Div 3'!$N$32:$O$32</definedName>
    <definedName name="OSRRefE11_21x" localSheetId="2">Summary!$N$32:$O$32</definedName>
    <definedName name="OSRRefE11_22x" localSheetId="48">'300'!$N$33:$O$33</definedName>
    <definedName name="OSRRefE11_22x" localSheetId="49">'300 &amp; 317'!$N$33:$O$33</definedName>
    <definedName name="OSRRefE11_22x" localSheetId="54">'308'!$N$33:$O$33</definedName>
    <definedName name="OSRRefE11_22x" localSheetId="58">'315'!$N$33:$O$33</definedName>
    <definedName name="OSRRefE11_22x" localSheetId="57">'331'!$N$33:$O$33</definedName>
    <definedName name="OSRRefE11_22x" localSheetId="47">'Div 3'!$N$33:$O$33</definedName>
    <definedName name="OSRRefE11_22x" localSheetId="2">Summary!$N$33:$O$33</definedName>
    <definedName name="OSRRefE11_23x" localSheetId="48">'300'!$N$34:$O$34</definedName>
    <definedName name="OSRRefE11_23x" localSheetId="49">'300 &amp; 317'!$N$34:$O$34</definedName>
    <definedName name="OSRRefE11_23x" localSheetId="58">'315'!$N$34:$O$34</definedName>
    <definedName name="OSRRefE11_23x" localSheetId="57">'331'!$N$34:$O$34</definedName>
    <definedName name="OSRRefE11_23x" localSheetId="47">'Div 3'!$N$34:$O$34</definedName>
    <definedName name="OSRRefE11_23x" localSheetId="2">Summary!$N$34:$O$34</definedName>
    <definedName name="OSRRefE11_24x" localSheetId="48">'300'!$N$35:$O$35</definedName>
    <definedName name="OSRRefE11_24x" localSheetId="49">'300 &amp; 317'!$N$35:$O$35</definedName>
    <definedName name="OSRRefE11_24x" localSheetId="58">'315'!$N$35:$O$35</definedName>
    <definedName name="OSRRefE11_24x" localSheetId="57">'331'!$N$35:$O$35</definedName>
    <definedName name="OSRRefE11_24x" localSheetId="47">'Div 3'!$N$35:$O$35</definedName>
    <definedName name="OSRRefE11_24x" localSheetId="2">Summary!$N$35:$O$35</definedName>
    <definedName name="OSRRefE11_25x" localSheetId="48">'300'!$N$36:$O$36</definedName>
    <definedName name="OSRRefE11_25x" localSheetId="49">'300 &amp; 317'!$N$36:$O$36</definedName>
    <definedName name="OSRRefE11_25x" localSheetId="58">'315'!$N$36:$O$36</definedName>
    <definedName name="OSRRefE11_25x" localSheetId="57">'331'!$N$36:$O$36</definedName>
    <definedName name="OSRRefE11_25x" localSheetId="47">'Div 3'!$N$36:$O$36</definedName>
    <definedName name="OSRRefE11_25x" localSheetId="2">Summary!$N$36:$O$36</definedName>
    <definedName name="OSRRefE11_26x" localSheetId="48">'300'!$N$37:$O$37</definedName>
    <definedName name="OSRRefE11_26x" localSheetId="49">'300 &amp; 317'!$N$37:$O$37</definedName>
    <definedName name="OSRRefE11_26x" localSheetId="58">'315'!$N$37:$O$37</definedName>
    <definedName name="OSRRefE11_26x" localSheetId="57">'331'!$N$37:$O$37</definedName>
    <definedName name="OSRRefE11_26x" localSheetId="47">'Div 3'!$N$37:$O$37</definedName>
    <definedName name="OSRRefE11_26x" localSheetId="2">Summary!$N$37:$O$37</definedName>
    <definedName name="OSRRefE11_27x" localSheetId="48">'300'!$N$38:$O$38</definedName>
    <definedName name="OSRRefE11_27x" localSheetId="49">'300 &amp; 317'!$N$38:$O$38</definedName>
    <definedName name="OSRRefE11_27x" localSheetId="58">'315'!$N$38:$O$38</definedName>
    <definedName name="OSRRefE11_27x" localSheetId="57">'331'!$N$38:$O$38</definedName>
    <definedName name="OSRRefE11_27x" localSheetId="47">'Div 3'!$N$38:$O$38</definedName>
    <definedName name="OSRRefE11_27x" localSheetId="2">Summary!$N$38:$O$38</definedName>
    <definedName name="OSRRefE11_28x" localSheetId="48">'300'!$N$39:$O$39</definedName>
    <definedName name="OSRRefE11_28x" localSheetId="49">'300 &amp; 317'!$N$39:$O$39</definedName>
    <definedName name="OSRRefE11_28x" localSheetId="58">'315'!$N$39:$O$39</definedName>
    <definedName name="OSRRefE11_28x" localSheetId="57">'331'!$N$39:$O$39</definedName>
    <definedName name="OSRRefE11_28x" localSheetId="47">'Div 3'!$N$39:$O$39</definedName>
    <definedName name="OSRRefE11_28x" localSheetId="2">Summary!$N$39:$O$39</definedName>
    <definedName name="OSRRefE11_29x" localSheetId="48">'300'!$N$40:$O$40</definedName>
    <definedName name="OSRRefE11_29x" localSheetId="49">'300 &amp; 317'!$N$40:$O$40</definedName>
    <definedName name="OSRRefE11_29x" localSheetId="58">'315'!$N$40:$O$40</definedName>
    <definedName name="OSRRefE11_29x" localSheetId="57">'331'!$N$40:$O$40</definedName>
    <definedName name="OSRRefE11_29x" localSheetId="47">'Div 3'!$N$40:$O$40</definedName>
    <definedName name="OSRRefE11_29x" localSheetId="2">Summary!$N$40:$O$40</definedName>
    <definedName name="OSRRefE11_2x" localSheetId="48">'300'!$N$13:$O$13</definedName>
    <definedName name="OSRRefE11_2x" localSheetId="49">'300 &amp; 317'!$N$13:$O$13</definedName>
    <definedName name="OSRRefE11_2x" localSheetId="53">'307'!$N$13:$O$13</definedName>
    <definedName name="OSRRefE11_2x" localSheetId="54">'308'!$N$13:$O$13</definedName>
    <definedName name="OSRRefE11_2x" localSheetId="64">'310'!$N$13:$O$13</definedName>
    <definedName name="OSRRefE11_2x" localSheetId="72">'310 &amp; 491'!$N$13:$O$13</definedName>
    <definedName name="OSRRefE11_2x" localSheetId="55">'311'!$N$13:$O$13</definedName>
    <definedName name="OSRRefE11_2x" localSheetId="66">'313'!$N$13:$O$13</definedName>
    <definedName name="OSRRefE11_2x" localSheetId="58">'315'!$N$13:$O$13</definedName>
    <definedName name="OSRRefE11_2x" localSheetId="61">'316'!$N$13:$O$13</definedName>
    <definedName name="OSRRefE11_2x" localSheetId="63">'317'!$N$13:$O$13</definedName>
    <definedName name="OSRRefE11_2x" localSheetId="56">'324'!$N$13:$O$13</definedName>
    <definedName name="OSRRefE11_2x" localSheetId="59">'326'!$N$13:$O$13</definedName>
    <definedName name="OSRRefE11_2x" localSheetId="52">'330'!$N$13:$O$13</definedName>
    <definedName name="OSRRefE11_2x" localSheetId="57">'331'!$N$13:$O$13</definedName>
    <definedName name="OSRRefE11_2x" localSheetId="60">'332'!$N$13:$O$13</definedName>
    <definedName name="OSRRefE11_2x" localSheetId="79">'414'!$N$13:$O$13</definedName>
    <definedName name="OSRRefE11_2x" localSheetId="80">'415'!$N$13:$O$13</definedName>
    <definedName name="OSRRefE11_2x" localSheetId="89">'433'!$N$13:$O$13</definedName>
    <definedName name="OSRRefE11_2x" localSheetId="91">'444'!$N$13:$O$13</definedName>
    <definedName name="OSRRefE11_2x" localSheetId="73">'491'!$N$13:$O$13</definedName>
    <definedName name="OSRRefE11_2x" localSheetId="87">'492'!$N$13:$O$13</definedName>
    <definedName name="OSRRefE11_2x" localSheetId="47">'Div 3'!$N$13:$O$13</definedName>
    <definedName name="OSRRefE11_2x" localSheetId="71">'Div 4'!$N$13:$O$13</definedName>
    <definedName name="OSRRefE11_2x" localSheetId="62">'Div 6'!$N$13:$O$13</definedName>
    <definedName name="OSRRefE11_2x" localSheetId="2">Summary!$N$13:$O$13</definedName>
    <definedName name="OSRRefE11_30x" localSheetId="48">'300'!$N$41:$O$41</definedName>
    <definedName name="OSRRefE11_30x" localSheetId="49">'300 &amp; 317'!$N$41:$O$41</definedName>
    <definedName name="OSRRefE11_30x" localSheetId="58">'315'!$N$41:$O$41</definedName>
    <definedName name="OSRRefE11_30x" localSheetId="57">'331'!$N$41:$O$41</definedName>
    <definedName name="OSRRefE11_30x" localSheetId="47">'Div 3'!$N$41:$O$41</definedName>
    <definedName name="OSRRefE11_30x" localSheetId="2">Summary!$N$41:$O$41</definedName>
    <definedName name="OSRRefE11_31x" localSheetId="48">'300'!$N$42:$O$42</definedName>
    <definedName name="OSRRefE11_31x" localSheetId="49">'300 &amp; 317'!$N$42:$O$42</definedName>
    <definedName name="OSRRefE11_31x" localSheetId="58">'315'!$N$42:$O$42</definedName>
    <definedName name="OSRRefE11_31x" localSheetId="57">'331'!$N$42:$O$42</definedName>
    <definedName name="OSRRefE11_31x" localSheetId="47">'Div 3'!$N$42:$O$42</definedName>
    <definedName name="OSRRefE11_31x" localSheetId="2">Summary!$N$42:$O$42</definedName>
    <definedName name="OSRRefE11_32x" localSheetId="48">'300'!$N$43:$O$43</definedName>
    <definedName name="OSRRefE11_32x" localSheetId="49">'300 &amp; 317'!$N$43:$O$43</definedName>
    <definedName name="OSRRefE11_32x" localSheetId="58">'315'!$N$43:$O$43</definedName>
    <definedName name="OSRRefE11_32x" localSheetId="57">'331'!$N$43:$O$43</definedName>
    <definedName name="OSRRefE11_32x" localSheetId="47">'Div 3'!$N$43:$O$43</definedName>
    <definedName name="OSRRefE11_32x" localSheetId="2">Summary!$N$43:$O$43</definedName>
    <definedName name="OSRRefE11_33x" localSheetId="48">'300'!$N$44:$O$44</definedName>
    <definedName name="OSRRefE11_33x" localSheetId="49">'300 &amp; 317'!$N$44:$O$44</definedName>
    <definedName name="OSRRefE11_33x" localSheetId="58">'315'!$N$44:$O$44</definedName>
    <definedName name="OSRRefE11_33x" localSheetId="57">'331'!$N$44:$O$44</definedName>
    <definedName name="OSRRefE11_33x" localSheetId="47">'Div 3'!$N$44:$O$44</definedName>
    <definedName name="OSRRefE11_33x" localSheetId="2">Summary!$N$44:$O$44</definedName>
    <definedName name="OSRRefE11_34x" localSheetId="48">'300'!$N$45:$O$45</definedName>
    <definedName name="OSRRefE11_34x" localSheetId="49">'300 &amp; 317'!$N$45:$O$45</definedName>
    <definedName name="OSRRefE11_34x" localSheetId="58">'315'!$N$45:$O$45</definedName>
    <definedName name="OSRRefE11_34x" localSheetId="57">'331'!$N$45:$O$45</definedName>
    <definedName name="OSRRefE11_34x" localSheetId="47">'Div 3'!$N$45:$O$45</definedName>
    <definedName name="OSRRefE11_34x" localSheetId="2">Summary!$N$45:$O$45</definedName>
    <definedName name="OSRRefE11_35x" localSheetId="48">'300'!$N$46:$O$46</definedName>
    <definedName name="OSRRefE11_35x" localSheetId="49">'300 &amp; 317'!$N$46:$O$46</definedName>
    <definedName name="OSRRefE11_35x" localSheetId="58">'315'!$N$46:$O$46</definedName>
    <definedName name="OSRRefE11_35x" localSheetId="57">'331'!$N$46:$O$46</definedName>
    <definedName name="OSRRefE11_35x" localSheetId="47">'Div 3'!$N$46:$O$46</definedName>
    <definedName name="OSRRefE11_35x" localSheetId="2">Summary!$N$46:$O$46</definedName>
    <definedName name="OSRRefE11_36x" localSheetId="48">'300'!$N$47:$O$47</definedName>
    <definedName name="OSRRefE11_36x" localSheetId="49">'300 &amp; 317'!$N$47:$O$47</definedName>
    <definedName name="OSRRefE11_36x" localSheetId="58">'315'!$N$47:$O$47</definedName>
    <definedName name="OSRRefE11_36x" localSheetId="57">'331'!$N$47:$O$47</definedName>
    <definedName name="OSRRefE11_36x" localSheetId="47">'Div 3'!$N$47:$O$47</definedName>
    <definedName name="OSRRefE11_36x" localSheetId="2">Summary!$N$47:$O$47</definedName>
    <definedName name="OSRRefE11_37x" localSheetId="48">'300'!$N$48:$O$48</definedName>
    <definedName name="OSRRefE11_37x" localSheetId="49">'300 &amp; 317'!$N$48:$O$48</definedName>
    <definedName name="OSRRefE11_37x" localSheetId="58">'315'!$N$48:$O$48</definedName>
    <definedName name="OSRRefE11_37x" localSheetId="57">'331'!$N$48:$O$48</definedName>
    <definedName name="OSRRefE11_37x" localSheetId="47">'Div 3'!$N$48:$O$48</definedName>
    <definedName name="OSRRefE11_37x" localSheetId="2">Summary!$N$48:$O$48</definedName>
    <definedName name="OSRRefE11_38x" localSheetId="48">'300'!$N$49:$O$49</definedName>
    <definedName name="OSRRefE11_38x" localSheetId="49">'300 &amp; 317'!$N$49:$O$49</definedName>
    <definedName name="OSRRefE11_38x" localSheetId="47">'Div 3'!$N$49:$O$49</definedName>
    <definedName name="OSRRefE11_38x" localSheetId="2">Summary!$N$49:$O$49</definedName>
    <definedName name="OSRRefE11_39x" localSheetId="48">'300'!$N$50:$O$50</definedName>
    <definedName name="OSRRefE11_39x" localSheetId="49">'300 &amp; 317'!$N$50:$O$50</definedName>
    <definedName name="OSRRefE11_39x" localSheetId="47">'Div 3'!$N$50:$O$50</definedName>
    <definedName name="OSRRefE11_39x" localSheetId="2">Summary!$N$50:$O$50</definedName>
    <definedName name="OSRRefE11_3x" localSheetId="48">'300'!$N$14:$O$14</definedName>
    <definedName name="OSRRefE11_3x" localSheetId="49">'300 &amp; 317'!$N$14:$O$14</definedName>
    <definedName name="OSRRefE11_3x" localSheetId="53">'307'!$N$14:$O$14</definedName>
    <definedName name="OSRRefE11_3x" localSheetId="54">'308'!$N$14:$O$14</definedName>
    <definedName name="OSRRefE11_3x" localSheetId="64">'310'!$N$14:$O$14</definedName>
    <definedName name="OSRRefE11_3x" localSheetId="72">'310 &amp; 491'!$N$14:$O$14</definedName>
    <definedName name="OSRRefE11_3x" localSheetId="55">'311'!$N$14:$O$14</definedName>
    <definedName name="OSRRefE11_3x" localSheetId="66">'313'!$N$14:$O$14</definedName>
    <definedName name="OSRRefE11_3x" localSheetId="58">'315'!$N$14:$O$14</definedName>
    <definedName name="OSRRefE11_3x" localSheetId="61">'316'!$N$14:$O$14</definedName>
    <definedName name="OSRRefE11_3x" localSheetId="63">'317'!$N$14:$O$14</definedName>
    <definedName name="OSRRefE11_3x" localSheetId="56">'324'!$N$14:$O$14</definedName>
    <definedName name="OSRRefE11_3x" localSheetId="59">'326'!$N$14:$O$14</definedName>
    <definedName name="OSRRefE11_3x" localSheetId="52">'330'!$N$14:$O$14</definedName>
    <definedName name="OSRRefE11_3x" localSheetId="57">'331'!$N$14:$O$14</definedName>
    <definedName name="OSRRefE11_3x" localSheetId="60">'332'!$N$14:$O$14</definedName>
    <definedName name="OSRRefE11_3x" localSheetId="80">'415'!$N$14:$O$14</definedName>
    <definedName name="OSRRefE11_3x" localSheetId="89">'433'!$N$14:$O$14</definedName>
    <definedName name="OSRRefE11_3x" localSheetId="91">'444'!$N$14:$O$14</definedName>
    <definedName name="OSRRefE11_3x" localSheetId="73">'491'!$N$14:$O$14</definedName>
    <definedName name="OSRRefE11_3x" localSheetId="87">'492'!$N$14:$O$14</definedName>
    <definedName name="OSRRefE11_3x" localSheetId="47">'Div 3'!$N$14:$O$14</definedName>
    <definedName name="OSRRefE11_3x" localSheetId="71">'Div 4'!$N$14:$O$14</definedName>
    <definedName name="OSRRefE11_3x" localSheetId="62">'Div 6'!$N$14:$O$14</definedName>
    <definedName name="OSRRefE11_3x" localSheetId="2">Summary!$N$14:$O$14</definedName>
    <definedName name="OSRRefE11_40x" localSheetId="48">'300'!$N$51:$O$51</definedName>
    <definedName name="OSRRefE11_40x" localSheetId="49">'300 &amp; 317'!$N$51:$O$51</definedName>
    <definedName name="OSRRefE11_40x" localSheetId="47">'Div 3'!$N$51:$O$51</definedName>
    <definedName name="OSRRefE11_40x" localSheetId="2">Summary!$N$51:$O$51</definedName>
    <definedName name="OSRRefE11_41x" localSheetId="48">'300'!$N$52:$O$52</definedName>
    <definedName name="OSRRefE11_41x" localSheetId="49">'300 &amp; 317'!$N$52:$O$52</definedName>
    <definedName name="OSRRefE11_41x" localSheetId="47">'Div 3'!$N$52:$O$52</definedName>
    <definedName name="OSRRefE11_41x" localSheetId="2">Summary!$N$52:$O$52</definedName>
    <definedName name="OSRRefE11_42x" localSheetId="48">'300'!$N$53:$O$53</definedName>
    <definedName name="OSRRefE11_42x" localSheetId="49">'300 &amp; 317'!$N$53:$O$53</definedName>
    <definedName name="OSRRefE11_42x" localSheetId="47">'Div 3'!$N$53:$O$53</definedName>
    <definedName name="OSRRefE11_42x" localSheetId="2">Summary!$N$53:$O$53</definedName>
    <definedName name="OSRRefE11_43x" localSheetId="48">'300'!$N$54:$O$54</definedName>
    <definedName name="OSRRefE11_43x" localSheetId="49">'300 &amp; 317'!$N$54:$O$54</definedName>
    <definedName name="OSRRefE11_43x" localSheetId="47">'Div 3'!$N$54:$O$54</definedName>
    <definedName name="OSRRefE11_43x" localSheetId="2">Summary!$N$54:$O$54</definedName>
    <definedName name="OSRRefE11_44x" localSheetId="48">'300'!$N$55:$O$55</definedName>
    <definedName name="OSRRefE11_44x" localSheetId="49">'300 &amp; 317'!$N$55:$O$55</definedName>
    <definedName name="OSRRefE11_44x" localSheetId="47">'Div 3'!$N$55:$O$55</definedName>
    <definedName name="OSRRefE11_44x" localSheetId="2">Summary!$N$55:$O$55</definedName>
    <definedName name="OSRRefE11_45x" localSheetId="48">'300'!$N$56:$O$56</definedName>
    <definedName name="OSRRefE11_45x" localSheetId="49">'300 &amp; 317'!$N$56:$O$56</definedName>
    <definedName name="OSRRefE11_45x" localSheetId="47">'Div 3'!$N$56:$O$56</definedName>
    <definedName name="OSRRefE11_45x" localSheetId="2">Summary!$N$56:$O$56</definedName>
    <definedName name="OSRRefE11_46x" localSheetId="48">'300'!$N$57:$O$57</definedName>
    <definedName name="OSRRefE11_46x" localSheetId="49">'300 &amp; 317'!$N$57:$O$57</definedName>
    <definedName name="OSRRefE11_46x" localSheetId="47">'Div 3'!$N$57:$O$57</definedName>
    <definedName name="OSRRefE11_46x" localSheetId="2">Summary!$N$57:$O$57</definedName>
    <definedName name="OSRRefE11_47x" localSheetId="48">'300'!$N$58:$O$58</definedName>
    <definedName name="OSRRefE11_47x" localSheetId="49">'300 &amp; 317'!$N$58:$O$58</definedName>
    <definedName name="OSRRefE11_47x" localSheetId="47">'Div 3'!$N$58:$O$58</definedName>
    <definedName name="OSRRefE11_47x" localSheetId="2">Summary!$N$58:$O$58</definedName>
    <definedName name="OSRRefE11_48x" localSheetId="48">'300'!$N$59:$O$59</definedName>
    <definedName name="OSRRefE11_48x" localSheetId="49">'300 &amp; 317'!$N$59:$O$59</definedName>
    <definedName name="OSRRefE11_48x" localSheetId="47">'Div 3'!$N$59:$O$59</definedName>
    <definedName name="OSRRefE11_48x" localSheetId="2">Summary!$N$59:$O$59</definedName>
    <definedName name="OSRRefE11_49x" localSheetId="48">'300'!$N$60:$O$60</definedName>
    <definedName name="OSRRefE11_49x" localSheetId="49">'300 &amp; 317'!$N$60:$O$60</definedName>
    <definedName name="OSRRefE11_49x" localSheetId="47">'Div 3'!$N$60:$O$60</definedName>
    <definedName name="OSRRefE11_49x" localSheetId="2">Summary!$N$60:$O$60</definedName>
    <definedName name="OSRRefE11_4x" localSheetId="48">'300'!$N$15:$O$15</definedName>
    <definedName name="OSRRefE11_4x" localSheetId="49">'300 &amp; 317'!$N$15:$O$15</definedName>
    <definedName name="OSRRefE11_4x" localSheetId="53">'307'!$N$15:$O$15</definedName>
    <definedName name="OSRRefE11_4x" localSheetId="54">'308'!$N$15:$O$15</definedName>
    <definedName name="OSRRefE11_4x" localSheetId="64">'310'!$N$15:$O$15</definedName>
    <definedName name="OSRRefE11_4x" localSheetId="72">'310 &amp; 491'!$N$15:$O$15</definedName>
    <definedName name="OSRRefE11_4x" localSheetId="55">'311'!$N$15:$O$15</definedName>
    <definedName name="OSRRefE11_4x" localSheetId="58">'315'!$N$15:$O$15</definedName>
    <definedName name="OSRRefE11_4x" localSheetId="61">'316'!$N$15:$O$15</definedName>
    <definedName name="OSRRefE11_4x" localSheetId="63">'317'!$N$15:$O$15</definedName>
    <definedName name="OSRRefE11_4x" localSheetId="59">'326'!$N$15:$O$15</definedName>
    <definedName name="OSRRefE11_4x" localSheetId="52">'330'!$N$15:$O$15</definedName>
    <definedName name="OSRRefE11_4x" localSheetId="57">'331'!$N$15:$O$15</definedName>
    <definedName name="OSRRefE11_4x" localSheetId="60">'332'!$N$15:$O$15</definedName>
    <definedName name="OSRRefE11_4x" localSheetId="73">'491'!$N$15:$O$15</definedName>
    <definedName name="OSRRefE11_4x" localSheetId="47">'Div 3'!$N$15:$O$15</definedName>
    <definedName name="OSRRefE11_4x" localSheetId="71">'Div 4'!$N$15:$O$15</definedName>
    <definedName name="OSRRefE11_4x" localSheetId="62">'Div 6'!$N$15:$O$15</definedName>
    <definedName name="OSRRefE11_4x" localSheetId="2">Summary!$N$15:$O$15</definedName>
    <definedName name="OSRRefE11_50x" localSheetId="48">'300'!$N$61:$O$61</definedName>
    <definedName name="OSRRefE11_50x" localSheetId="49">'300 &amp; 317'!$N$61:$O$61</definedName>
    <definedName name="OSRRefE11_50x" localSheetId="47">'Div 3'!$N$61:$O$61</definedName>
    <definedName name="OSRRefE11_50x" localSheetId="2">Summary!$N$61:$O$61</definedName>
    <definedName name="OSRRefE11_51x" localSheetId="48">'300'!$N$62:$O$62</definedName>
    <definedName name="OSRRefE11_51x" localSheetId="49">'300 &amp; 317'!$N$62:$O$62</definedName>
    <definedName name="OSRRefE11_51x" localSheetId="47">'Div 3'!$N$62:$O$62</definedName>
    <definedName name="OSRRefE11_51x" localSheetId="2">Summary!$N$62:$O$62</definedName>
    <definedName name="OSRRefE11_52x" localSheetId="48">'300'!$N$63:$O$63</definedName>
    <definedName name="OSRRefE11_52x" localSheetId="49">'300 &amp; 317'!$N$63:$O$63</definedName>
    <definedName name="OSRRefE11_52x" localSheetId="47">'Div 3'!$N$63:$O$63</definedName>
    <definedName name="OSRRefE11_52x" localSheetId="2">Summary!$N$63:$O$63</definedName>
    <definedName name="OSRRefE11_53x" localSheetId="48">'300'!$N$64:$O$64</definedName>
    <definedName name="OSRRefE11_53x" localSheetId="49">'300 &amp; 317'!$N$64:$O$64</definedName>
    <definedName name="OSRRefE11_53x" localSheetId="47">'Div 3'!$N$64:$O$64</definedName>
    <definedName name="OSRRefE11_53x" localSheetId="2">Summary!$N$64:$O$64</definedName>
    <definedName name="OSRRefE11_54x" localSheetId="48">'300'!$N$65:$O$65</definedName>
    <definedName name="OSRRefE11_54x" localSheetId="49">'300 &amp; 317'!$N$65:$O$65</definedName>
    <definedName name="OSRRefE11_54x" localSheetId="47">'Div 3'!$N$65:$O$65</definedName>
    <definedName name="OSRRefE11_54x" localSheetId="2">Summary!$N$65:$O$65</definedName>
    <definedName name="OSRRefE11_55x" localSheetId="48">'300'!$N$66:$O$66</definedName>
    <definedName name="OSRRefE11_55x" localSheetId="49">'300 &amp; 317'!$N$66:$O$66</definedName>
    <definedName name="OSRRefE11_55x" localSheetId="47">'Div 3'!$N$66:$O$66</definedName>
    <definedName name="OSRRefE11_55x" localSheetId="2">Summary!$N$66:$O$66</definedName>
    <definedName name="OSRRefE11_56x" localSheetId="48">'300'!$N$67:$O$67</definedName>
    <definedName name="OSRRefE11_56x" localSheetId="49">'300 &amp; 317'!$N$67:$O$67</definedName>
    <definedName name="OSRRefE11_56x" localSheetId="47">'Div 3'!$N$67:$O$67</definedName>
    <definedName name="OSRRefE11_56x" localSheetId="2">Summary!$N$67:$O$67</definedName>
    <definedName name="OSRRefE11_57x" localSheetId="48">'300'!$N$68:$O$68</definedName>
    <definedName name="OSRRefE11_57x" localSheetId="49">'300 &amp; 317'!$N$68:$O$68</definedName>
    <definedName name="OSRRefE11_57x" localSheetId="47">'Div 3'!$N$68:$O$68</definedName>
    <definedName name="OSRRefE11_57x" localSheetId="2">Summary!$N$68:$O$68</definedName>
    <definedName name="OSRRefE11_58x" localSheetId="48">'300'!$N$69:$O$69</definedName>
    <definedName name="OSRRefE11_58x" localSheetId="49">'300 &amp; 317'!$N$69:$O$69</definedName>
    <definedName name="OSRRefE11_58x" localSheetId="47">'Div 3'!$N$69:$O$69</definedName>
    <definedName name="OSRRefE11_58x" localSheetId="2">Summary!$N$69:$O$69</definedName>
    <definedName name="OSRRefE11_59x" localSheetId="48">'300'!$N$70:$O$70</definedName>
    <definedName name="OSRRefE11_59x" localSheetId="49">'300 &amp; 317'!$N$70:$O$70</definedName>
    <definedName name="OSRRefE11_59x" localSheetId="47">'Div 3'!$N$70:$O$70</definedName>
    <definedName name="OSRRefE11_59x" localSheetId="2">Summary!$N$70:$O$70</definedName>
    <definedName name="OSRRefE11_5x" localSheetId="48">'300'!$N$16:$O$16</definedName>
    <definedName name="OSRRefE11_5x" localSheetId="49">'300 &amp; 317'!$N$16:$O$16</definedName>
    <definedName name="OSRRefE11_5x" localSheetId="53">'307'!$N$16:$O$16</definedName>
    <definedName name="OSRRefE11_5x" localSheetId="54">'308'!$N$16:$O$16</definedName>
    <definedName name="OSRRefE11_5x" localSheetId="64">'310'!$N$16:$O$16</definedName>
    <definedName name="OSRRefE11_5x" localSheetId="72">'310 &amp; 491'!$N$16:$O$16</definedName>
    <definedName name="OSRRefE11_5x" localSheetId="55">'311'!$N$16:$O$16</definedName>
    <definedName name="OSRRefE11_5x" localSheetId="58">'315'!$N$16:$O$16</definedName>
    <definedName name="OSRRefE11_5x" localSheetId="61">'316'!$N$16:$O$16</definedName>
    <definedName name="OSRRefE11_5x" localSheetId="63">'317'!$N$16:$O$16</definedName>
    <definedName name="OSRRefE11_5x" localSheetId="59">'326'!$N$16:$O$16</definedName>
    <definedName name="OSRRefE11_5x" localSheetId="52">'330'!$N$16:$O$16</definedName>
    <definedName name="OSRRefE11_5x" localSheetId="57">'331'!$N$16:$O$16</definedName>
    <definedName name="OSRRefE11_5x" localSheetId="60">'332'!$N$16:$O$16</definedName>
    <definedName name="OSRRefE11_5x" localSheetId="73">'491'!$N$16:$O$16</definedName>
    <definedName name="OSRRefE11_5x" localSheetId="47">'Div 3'!$N$16:$O$16</definedName>
    <definedName name="OSRRefE11_5x" localSheetId="71">'Div 4'!$N$16:$O$16</definedName>
    <definedName name="OSRRefE11_5x" localSheetId="62">'Div 6'!$N$16:$O$16</definedName>
    <definedName name="OSRRefE11_5x" localSheetId="2">Summary!$N$16:$O$16</definedName>
    <definedName name="OSRRefE11_60x" localSheetId="48">'300'!$N$71:$O$71</definedName>
    <definedName name="OSRRefE11_60x" localSheetId="49">'300 &amp; 317'!$N$71:$O$71</definedName>
    <definedName name="OSRRefE11_60x" localSheetId="47">'Div 3'!$N$71:$O$71</definedName>
    <definedName name="OSRRefE11_60x" localSheetId="2">Summary!$N$71:$O$71</definedName>
    <definedName name="OSRRefE11_61x" localSheetId="48">'300'!$N$72:$O$72</definedName>
    <definedName name="OSRRefE11_61x" localSheetId="49">'300 &amp; 317'!$N$72:$O$72</definedName>
    <definedName name="OSRRefE11_61x" localSheetId="47">'Div 3'!$N$72:$O$72</definedName>
    <definedName name="OSRRefE11_61x" localSheetId="2">Summary!$N$72:$O$72</definedName>
    <definedName name="OSRRefE11_62x" localSheetId="48">'300'!$N$73:$O$73</definedName>
    <definedName name="OSRRefE11_62x" localSheetId="49">'300 &amp; 317'!$N$73:$O$73</definedName>
    <definedName name="OSRRefE11_62x" localSheetId="47">'Div 3'!$N$73:$O$73</definedName>
    <definedName name="OSRRefE11_62x" localSheetId="2">Summary!$N$73:$O$73</definedName>
    <definedName name="OSRRefE11_63x" localSheetId="48">'300'!$N$74:$O$74</definedName>
    <definedName name="OSRRefE11_63x" localSheetId="49">'300 &amp; 317'!$N$74:$O$74</definedName>
    <definedName name="OSRRefE11_63x" localSheetId="47">'Div 3'!$N$74:$O$74</definedName>
    <definedName name="OSRRefE11_63x" localSheetId="2">Summary!$N$74:$O$74</definedName>
    <definedName name="OSRRefE11_64x" localSheetId="48">'300'!$N$75:$O$75</definedName>
    <definedName name="OSRRefE11_64x" localSheetId="49">'300 &amp; 317'!$N$75:$O$75</definedName>
    <definedName name="OSRRefE11_64x" localSheetId="47">'Div 3'!$N$75:$O$75</definedName>
    <definedName name="OSRRefE11_64x" localSheetId="2">Summary!$N$75:$O$75</definedName>
    <definedName name="OSRRefE11_65x" localSheetId="49">'300 &amp; 317'!$N$76:$O$76</definedName>
    <definedName name="OSRRefE11_65x" localSheetId="47">'Div 3'!$N$76:$O$76</definedName>
    <definedName name="OSRRefE11_65x" localSheetId="2">Summary!$N$76:$O$76</definedName>
    <definedName name="OSRRefE11_66x" localSheetId="49">'300 &amp; 317'!$N$77:$O$77</definedName>
    <definedName name="OSRRefE11_66x" localSheetId="47">'Div 3'!$N$77:$O$77</definedName>
    <definedName name="OSRRefE11_66x" localSheetId="2">Summary!$N$77:$O$77</definedName>
    <definedName name="OSRRefE11_67x" localSheetId="49">'300 &amp; 317'!$N$78:$O$78</definedName>
    <definedName name="OSRRefE11_67x" localSheetId="2">Summary!$N$78:$O$78</definedName>
    <definedName name="OSRRefE11_68x" localSheetId="49">'300 &amp; 317'!$N$79:$O$79</definedName>
    <definedName name="OSRRefE11_68x" localSheetId="2">Summary!$N$79:$O$79</definedName>
    <definedName name="OSRRefE11_69x" localSheetId="49">'300 &amp; 317'!$N$80:$O$80</definedName>
    <definedName name="OSRRefE11_69x" localSheetId="2">Summary!$N$80:$O$80</definedName>
    <definedName name="OSRRefE11_6x" localSheetId="48">'300'!$N$17:$O$17</definedName>
    <definedName name="OSRRefE11_6x" localSheetId="49">'300 &amp; 317'!$N$17:$O$17</definedName>
    <definedName name="OSRRefE11_6x" localSheetId="53">'307'!$N$17:$O$17</definedName>
    <definedName name="OSRRefE11_6x" localSheetId="54">'308'!$N$17:$O$17</definedName>
    <definedName name="OSRRefE11_6x" localSheetId="64">'310'!$N$17:$O$17</definedName>
    <definedName name="OSRRefE11_6x" localSheetId="72">'310 &amp; 491'!$N$17:$O$17</definedName>
    <definedName name="OSRRefE11_6x" localSheetId="55">'311'!$N$17:$O$17</definedName>
    <definedName name="OSRRefE11_6x" localSheetId="58">'315'!$N$17:$O$17</definedName>
    <definedName name="OSRRefE11_6x" localSheetId="61">'316'!$N$17:$O$17</definedName>
    <definedName name="OSRRefE11_6x" localSheetId="63">'317'!$N$17:$O$17</definedName>
    <definedName name="OSRRefE11_6x" localSheetId="59">'326'!$N$17:$O$17</definedName>
    <definedName name="OSRRefE11_6x" localSheetId="52">'330'!$N$17:$O$17</definedName>
    <definedName name="OSRRefE11_6x" localSheetId="57">'331'!$N$17:$O$17</definedName>
    <definedName name="OSRRefE11_6x" localSheetId="60">'332'!$N$17:$O$17</definedName>
    <definedName name="OSRRefE11_6x" localSheetId="73">'491'!$N$17:$O$17</definedName>
    <definedName name="OSRRefE11_6x" localSheetId="47">'Div 3'!$N$17:$O$17</definedName>
    <definedName name="OSRRefE11_6x" localSheetId="71">'Div 4'!$N$17:$O$17</definedName>
    <definedName name="OSRRefE11_6x" localSheetId="62">'Div 6'!$N$17:$O$17</definedName>
    <definedName name="OSRRefE11_6x" localSheetId="2">Summary!$N$17:$O$17</definedName>
    <definedName name="OSRRefE11_70x" localSheetId="49">'300 &amp; 317'!$N$81:$O$81</definedName>
    <definedName name="OSRRefE11_70x" localSheetId="2">Summary!$N$81:$O$81</definedName>
    <definedName name="OSRRefE11_71x" localSheetId="49">'300 &amp; 317'!$N$82:$O$82</definedName>
    <definedName name="OSRRefE11_71x" localSheetId="2">Summary!$N$82:$O$82</definedName>
    <definedName name="OSRRefE11_72x" localSheetId="49">'300 &amp; 317'!$N$83:$O$83</definedName>
    <definedName name="OSRRefE11_72x" localSheetId="2">Summary!$N$83:$O$83</definedName>
    <definedName name="OSRRefE11_73x" localSheetId="49">'300 &amp; 317'!$N$84:$O$84</definedName>
    <definedName name="OSRRefE11_73x" localSheetId="2">Summary!$N$84:$O$84</definedName>
    <definedName name="OSRRefE11_74x" localSheetId="49">'300 &amp; 317'!$N$85:$O$85</definedName>
    <definedName name="OSRRefE11_74x" localSheetId="2">Summary!$N$85:$O$85</definedName>
    <definedName name="OSRRefE11_75x" localSheetId="49">'300 &amp; 317'!$N$86:$O$86</definedName>
    <definedName name="OSRRefE11_75x" localSheetId="2">Summary!$N$86:$O$86</definedName>
    <definedName name="OSRRefE11_76x" localSheetId="49">'300 &amp; 317'!$N$87:$O$87</definedName>
    <definedName name="OSRRefE11_76x" localSheetId="2">Summary!$N$87:$O$87</definedName>
    <definedName name="OSRRefE11_77x" localSheetId="49">'300 &amp; 317'!$N$88:$O$88</definedName>
    <definedName name="OSRRefE11_77x" localSheetId="2">Summary!$N$88:$O$88</definedName>
    <definedName name="OSRRefE11_78x" localSheetId="49">'300 &amp; 317'!$N$89:$O$89</definedName>
    <definedName name="OSRRefE11_78x" localSheetId="2">Summary!$N$89:$O$89</definedName>
    <definedName name="OSRRefE11_79x" localSheetId="49">'300 &amp; 317'!$N$90:$O$90</definedName>
    <definedName name="OSRRefE11_79x" localSheetId="2">Summary!$N$90:$O$90</definedName>
    <definedName name="OSRRefE11_7x" localSheetId="48">'300'!$N$18:$O$18</definedName>
    <definedName name="OSRRefE11_7x" localSheetId="49">'300 &amp; 317'!$N$18:$O$18</definedName>
    <definedName name="OSRRefE11_7x" localSheetId="53">'307'!$N$18:$O$18</definedName>
    <definedName name="OSRRefE11_7x" localSheetId="54">'308'!$N$18:$O$18</definedName>
    <definedName name="OSRRefE11_7x" localSheetId="72">'310 &amp; 491'!$N$18:$O$18</definedName>
    <definedName name="OSRRefE11_7x" localSheetId="55">'311'!$N$18:$O$18</definedName>
    <definedName name="OSRRefE11_7x" localSheetId="58">'315'!$N$18:$O$18</definedName>
    <definedName name="OSRRefE11_7x" localSheetId="61">'316'!$N$18:$O$18</definedName>
    <definedName name="OSRRefE11_7x" localSheetId="63">'317'!$N$18:$O$18</definedName>
    <definedName name="OSRRefE11_7x" localSheetId="59">'326'!$N$18:$O$18</definedName>
    <definedName name="OSRRefE11_7x" localSheetId="52">'330'!$N$18:$O$18</definedName>
    <definedName name="OSRRefE11_7x" localSheetId="57">'331'!$N$18:$O$18</definedName>
    <definedName name="OSRRefE11_7x" localSheetId="60">'332'!$N$18:$O$18</definedName>
    <definedName name="OSRRefE11_7x" localSheetId="47">'Div 3'!$N$18:$O$18</definedName>
    <definedName name="OSRRefE11_7x" localSheetId="71">'Div 4'!$N$18:$O$18</definedName>
    <definedName name="OSRRefE11_7x" localSheetId="62">'Div 6'!$N$18:$O$18</definedName>
    <definedName name="OSRRefE11_7x" localSheetId="2">Summary!$N$18:$O$18</definedName>
    <definedName name="OSRRefE11_80x" localSheetId="2">Summary!$N$91:$O$91</definedName>
    <definedName name="OSRRefE11_81x" localSheetId="2">Summary!$N$92:$O$92</definedName>
    <definedName name="OSRRefE11_82x" localSheetId="2">Summary!$N$93:$O$93</definedName>
    <definedName name="OSRRefE11_83x" localSheetId="2">Summary!$N$94:$O$94</definedName>
    <definedName name="OSRRefE11_84x" localSheetId="2">Summary!$N$95:$O$95</definedName>
    <definedName name="OSRRefE11_85x" localSheetId="2">Summary!$N$96:$O$96</definedName>
    <definedName name="OSRRefE11_86x" localSheetId="2">Summary!$N$97:$O$97</definedName>
    <definedName name="OSRRefE11_87x" localSheetId="2">Summary!$N$98:$O$98</definedName>
    <definedName name="OSRRefE11_8x" localSheetId="48">'300'!$N$19:$O$19</definedName>
    <definedName name="OSRRefE11_8x" localSheetId="49">'300 &amp; 317'!$N$19:$O$19</definedName>
    <definedName name="OSRRefE11_8x" localSheetId="53">'307'!$N$19:$O$19</definedName>
    <definedName name="OSRRefE11_8x" localSheetId="54">'308'!$N$19:$O$19</definedName>
    <definedName name="OSRRefE11_8x" localSheetId="72">'310 &amp; 491'!$N$19:$O$19</definedName>
    <definedName name="OSRRefE11_8x" localSheetId="55">'311'!$N$19:$O$19</definedName>
    <definedName name="OSRRefE11_8x" localSheetId="58">'315'!$N$19:$O$19</definedName>
    <definedName name="OSRRefE11_8x" localSheetId="61">'316'!$N$19:$O$19</definedName>
    <definedName name="OSRRefE11_8x" localSheetId="63">'317'!$N$19:$O$19</definedName>
    <definedName name="OSRRefE11_8x" localSheetId="59">'326'!$N$19:$O$19</definedName>
    <definedName name="OSRRefE11_8x" localSheetId="52">'330'!$N$19:$O$19</definedName>
    <definedName name="OSRRefE11_8x" localSheetId="57">'331'!$N$19:$O$19</definedName>
    <definedName name="OSRRefE11_8x" localSheetId="60">'332'!$N$19:$O$19</definedName>
    <definedName name="OSRRefE11_8x" localSheetId="47">'Div 3'!$N$19:$O$19</definedName>
    <definedName name="OSRRefE11_8x" localSheetId="71">'Div 4'!$N$19:$O$19</definedName>
    <definedName name="OSRRefE11_8x" localSheetId="62">'Div 6'!$N$19:$O$19</definedName>
    <definedName name="OSRRefE11_8x" localSheetId="2">Summary!$N$19:$O$19</definedName>
    <definedName name="OSRRefE11_9x" localSheetId="48">'300'!$N$20:$O$20</definedName>
    <definedName name="OSRRefE11_9x" localSheetId="49">'300 &amp; 317'!$N$20:$O$20</definedName>
    <definedName name="OSRRefE11_9x" localSheetId="53">'307'!$N$20:$O$20</definedName>
    <definedName name="OSRRefE11_9x" localSheetId="54">'308'!$N$20:$O$20</definedName>
    <definedName name="OSRRefE11_9x" localSheetId="72">'310 &amp; 491'!$N$20:$O$20</definedName>
    <definedName name="OSRRefE11_9x" localSheetId="55">'311'!$N$20:$O$20</definedName>
    <definedName name="OSRRefE11_9x" localSheetId="58">'315'!$N$20:$O$20</definedName>
    <definedName name="OSRRefE11_9x" localSheetId="61">'316'!$N$20:$O$20</definedName>
    <definedName name="OSRRefE11_9x" localSheetId="63">'317'!$N$20:$O$20</definedName>
    <definedName name="OSRRefE11_9x" localSheetId="59">'326'!$N$20:$O$20</definedName>
    <definedName name="OSRRefE11_9x" localSheetId="52">'330'!$N$20:$O$20</definedName>
    <definedName name="OSRRefE11_9x" localSheetId="57">'331'!$N$20:$O$20</definedName>
    <definedName name="OSRRefE11_9x" localSheetId="60">'332'!$N$20:$O$20</definedName>
    <definedName name="OSRRefE11_9x" localSheetId="47">'Div 3'!$N$20:$O$20</definedName>
    <definedName name="OSRRefE11_9x" localSheetId="62">'Div 6'!$N$20:$O$20</definedName>
    <definedName name="OSRRefE11_9x" localSheetId="2">Summary!$N$20:$O$20</definedName>
    <definedName name="OSRRefE11x_0" localSheetId="48">'300'!$N$11:$N$75</definedName>
    <definedName name="OSRRefE11x_0" localSheetId="49">'300 &amp; 317'!$N$11:$N$90</definedName>
    <definedName name="OSRRefE11x_0" localSheetId="53">'307'!$N$11:$N$21</definedName>
    <definedName name="OSRRefE11x_0" localSheetId="54">'308'!$N$11:$N$33</definedName>
    <definedName name="OSRRefE11x_0" localSheetId="65">'309'!$N$11</definedName>
    <definedName name="OSRRefE11x_0" localSheetId="64">'310'!$N$11:$N$17</definedName>
    <definedName name="OSRRefE11x_0" localSheetId="72">'310 &amp; 491'!$N$11:$N$23</definedName>
    <definedName name="OSRRefE11x_0" localSheetId="55">'311'!$N$11:$N$32</definedName>
    <definedName name="OSRRefE11x_0" localSheetId="66">'313'!$N$11:$N$14</definedName>
    <definedName name="OSRRefE11x_0" localSheetId="58">'315'!$N$11:$N$48</definedName>
    <definedName name="OSRRefE11x_0" localSheetId="61">'316'!$N$11:$N$22</definedName>
    <definedName name="OSRRefE11x_0" localSheetId="63">'317'!$N$11:$N$29</definedName>
    <definedName name="OSRRefE11x_0" localSheetId="67">'321'!$N$11:$N$12</definedName>
    <definedName name="OSRRefE11x_0" localSheetId="68">'322'!$N$11</definedName>
    <definedName name="OSRRefE11x_0" localSheetId="56">'324'!$N$11:$N$14</definedName>
    <definedName name="OSRRefE11x_0" localSheetId="59">'326'!$N$11:$N$31</definedName>
    <definedName name="OSRRefE11x_0" localSheetId="70">'327'!$N$11:$N$12</definedName>
    <definedName name="OSRRefE11x_0" localSheetId="52">'330'!$N$11:$N$24</definedName>
    <definedName name="OSRRefE11x_0" localSheetId="57">'331'!$N$11:$N$48</definedName>
    <definedName name="OSRRefE11x_0" localSheetId="60">'332'!$N$11:$N$22</definedName>
    <definedName name="OSRRefE11x_0" localSheetId="74">'405'!$N$11:$N$12</definedName>
    <definedName name="OSRRefE11x_0" localSheetId="77">'412'!$N$11</definedName>
    <definedName name="OSRRefE11x_0" localSheetId="78">'413'!$N$11:$N$12</definedName>
    <definedName name="OSRRefE11x_0" localSheetId="79">'414'!$N$11:$N$13</definedName>
    <definedName name="OSRRefE11x_0" localSheetId="80">'415'!$N$11:$N$14</definedName>
    <definedName name="OSRRefE11x_0" localSheetId="81">'418'!$N$11:$N$12</definedName>
    <definedName name="OSRRefE11x_0" localSheetId="82">'420'!$N$11:$N$12</definedName>
    <definedName name="OSRRefE11x_0" localSheetId="89">'433'!$N$11:$N$14</definedName>
    <definedName name="OSRRefE11x_0" localSheetId="91">'444'!$N$11:$N$14</definedName>
    <definedName name="OSRRefE11x_0" localSheetId="92">'450'!$N$11:$N$12</definedName>
    <definedName name="OSRRefE11x_0" localSheetId="73">'491'!$N$11:$N$17</definedName>
    <definedName name="OSRRefE11x_0" localSheetId="87">'492'!$N$11:$N$14</definedName>
    <definedName name="OSRRefE11x_0" localSheetId="94">'501'!$N$11:$N$12</definedName>
    <definedName name="OSRRefE11x_0" localSheetId="47">'Div 3'!$N$11:$N$77</definedName>
    <definedName name="OSRRefE11x_0" localSheetId="71">'Div 4'!$N$11:$N$19</definedName>
    <definedName name="OSRRefE11x_0" localSheetId="93">'Div 5'!$N$11:$N$12</definedName>
    <definedName name="OSRRefE11x_0" localSheetId="62">'Div 6'!$N$11:$N$29</definedName>
    <definedName name="OSRRefE11x_0" localSheetId="2">Summary!$N$11:$N$98</definedName>
    <definedName name="OSRRefE11x_1" localSheetId="48">'300'!$O$11:$O$75</definedName>
    <definedName name="OSRRefE11x_1" localSheetId="49">'300 &amp; 317'!$O$11:$O$90</definedName>
    <definedName name="OSRRefE11x_1" localSheetId="53">'307'!$O$11:$O$21</definedName>
    <definedName name="OSRRefE11x_1" localSheetId="54">'308'!$O$11:$O$33</definedName>
    <definedName name="OSRRefE11x_1" localSheetId="65">'309'!$O$11</definedName>
    <definedName name="OSRRefE11x_1" localSheetId="64">'310'!$O$11:$O$17</definedName>
    <definedName name="OSRRefE11x_1" localSheetId="72">'310 &amp; 491'!$O$11:$O$23</definedName>
    <definedName name="OSRRefE11x_1" localSheetId="55">'311'!$O$11:$O$32</definedName>
    <definedName name="OSRRefE11x_1" localSheetId="66">'313'!$O$11:$O$14</definedName>
    <definedName name="OSRRefE11x_1" localSheetId="58">'315'!$O$11:$O$48</definedName>
    <definedName name="OSRRefE11x_1" localSheetId="61">'316'!$O$11:$O$22</definedName>
    <definedName name="OSRRefE11x_1" localSheetId="63">'317'!$O$11:$O$29</definedName>
    <definedName name="OSRRefE11x_1" localSheetId="67">'321'!$O$11:$O$12</definedName>
    <definedName name="OSRRefE11x_1" localSheetId="68">'322'!$O$11</definedName>
    <definedName name="OSRRefE11x_1" localSheetId="56">'324'!$O$11:$O$14</definedName>
    <definedName name="OSRRefE11x_1" localSheetId="59">'326'!$O$11:$O$31</definedName>
    <definedName name="OSRRefE11x_1" localSheetId="70">'327'!$O$11:$O$12</definedName>
    <definedName name="OSRRefE11x_1" localSheetId="52">'330'!$O$11:$O$24</definedName>
    <definedName name="OSRRefE11x_1" localSheetId="57">'331'!$O$11:$O$48</definedName>
    <definedName name="OSRRefE11x_1" localSheetId="60">'332'!$O$11:$O$22</definedName>
    <definedName name="OSRRefE11x_1" localSheetId="74">'405'!$O$11:$O$12</definedName>
    <definedName name="OSRRefE11x_1" localSheetId="77">'412'!$O$11</definedName>
    <definedName name="OSRRefE11x_1" localSheetId="78">'413'!$O$11:$O$12</definedName>
    <definedName name="OSRRefE11x_1" localSheetId="79">'414'!$O$11:$O$13</definedName>
    <definedName name="OSRRefE11x_1" localSheetId="80">'415'!$O$11:$O$14</definedName>
    <definedName name="OSRRefE11x_1" localSheetId="81">'418'!$O$11:$O$12</definedName>
    <definedName name="OSRRefE11x_1" localSheetId="82">'420'!$O$11:$O$12</definedName>
    <definedName name="OSRRefE11x_1" localSheetId="89">'433'!$O$11:$O$14</definedName>
    <definedName name="OSRRefE11x_1" localSheetId="91">'444'!$O$11:$O$14</definedName>
    <definedName name="OSRRefE11x_1" localSheetId="92">'450'!$O$11:$O$12</definedName>
    <definedName name="OSRRefE11x_1" localSheetId="73">'491'!$O$11:$O$17</definedName>
    <definedName name="OSRRefE11x_1" localSheetId="87">'492'!$O$11:$O$14</definedName>
    <definedName name="OSRRefE11x_1" localSheetId="94">'501'!$O$11:$O$12</definedName>
    <definedName name="OSRRefE11x_1" localSheetId="47">'Div 3'!$O$11:$O$77</definedName>
    <definedName name="OSRRefE11x_1" localSheetId="71">'Div 4'!$O$11:$O$19</definedName>
    <definedName name="OSRRefE11x_1" localSheetId="93">'Div 5'!$O$11:$O$12</definedName>
    <definedName name="OSRRefE11x_1" localSheetId="62">'Div 6'!$O$11:$O$29</definedName>
    <definedName name="OSRRefE11x_1" localSheetId="2">Summary!$O$11:$O$98</definedName>
    <definedName name="OSRRefE14_0x" localSheetId="48">'300'!$N$78:$O$78</definedName>
    <definedName name="OSRRefE14_0x" localSheetId="49">'300 &amp; 317'!$N$93:$O$93</definedName>
    <definedName name="OSRRefE14_0x" localSheetId="50">'301'!$N$13:$O$13</definedName>
    <definedName name="OSRRefE14_0x" localSheetId="53">'307'!$N$24:$O$24</definedName>
    <definedName name="OSRRefE14_0x" localSheetId="54">'308'!$N$36:$O$36</definedName>
    <definedName name="OSRRefE14_0x" localSheetId="65">'309'!$N$14:$O$14</definedName>
    <definedName name="OSRRefE14_0x" localSheetId="64">'310'!$N$20:$O$20</definedName>
    <definedName name="OSRRefE14_0x" localSheetId="72">'310 &amp; 491'!$N$26:$O$26</definedName>
    <definedName name="OSRRefE14_0x" localSheetId="55">'311'!$N$35:$O$35</definedName>
    <definedName name="OSRRefE14_0x" localSheetId="66">'313'!$N$17:$O$17</definedName>
    <definedName name="OSRRefE14_0x" localSheetId="58">'315'!$N$51:$O$51</definedName>
    <definedName name="OSRRefE14_0x" localSheetId="63">'317'!$N$32:$O$32</definedName>
    <definedName name="OSRRefE14_0x" localSheetId="67">'321'!$N$15:$O$15</definedName>
    <definedName name="OSRRefE14_0x" localSheetId="68">'322'!$N$14:$O$14</definedName>
    <definedName name="OSRRefE14_0x" localSheetId="56">'324'!$N$17:$O$17</definedName>
    <definedName name="OSRRefE14_0x" localSheetId="69">'325'!$N$13:$O$13</definedName>
    <definedName name="OSRRefE14_0x" localSheetId="59">'326'!$N$34:$O$34</definedName>
    <definedName name="OSRRefE14_0x" localSheetId="70">'327'!$N$15:$O$15</definedName>
    <definedName name="OSRRefE14_0x" localSheetId="52">'330'!$N$27:$O$27</definedName>
    <definedName name="OSRRefE14_0x" localSheetId="57">'331'!$N$51:$O$51</definedName>
    <definedName name="OSRRefE14_0x" localSheetId="60">'332'!$N$25:$O$25</definedName>
    <definedName name="OSRRefE14_0x" localSheetId="74">'405'!$N$15:$O$15</definedName>
    <definedName name="OSRRefE14_0x" localSheetId="77">'412'!$N$14:$O$14</definedName>
    <definedName name="OSRRefE14_0x" localSheetId="78">'413'!$N$15:$O$15</definedName>
    <definedName name="OSRRefE14_0x" localSheetId="79">'414'!$N$16:$O$16</definedName>
    <definedName name="OSRRefE14_0x" localSheetId="80">'415'!$N$17:$O$17</definedName>
    <definedName name="OSRRefE14_0x" localSheetId="81">'418'!$N$15:$O$15</definedName>
    <definedName name="OSRRefE14_0x" localSheetId="85">'425'!$N$13:$O$13</definedName>
    <definedName name="OSRRefE14_0x" localSheetId="89">'433'!$N$17:$O$17</definedName>
    <definedName name="OSRRefE14_0x" localSheetId="91">'444'!$N$17:$O$17</definedName>
    <definedName name="OSRRefE14_0x" localSheetId="92">'450'!$N$15:$O$15</definedName>
    <definedName name="OSRRefE14_0x" localSheetId="73">'491'!$N$20:$O$20</definedName>
    <definedName name="OSRRefE14_0x" localSheetId="87">'492'!$N$17:$O$17</definedName>
    <definedName name="OSRRefE14_0x" localSheetId="47">'Div 3'!$N$80:$O$80</definedName>
    <definedName name="OSRRefE14_0x" localSheetId="71">'Div 4'!$N$22:$O$22</definedName>
    <definedName name="OSRRefE14_0x" localSheetId="62">'Div 6'!$N$32:$O$32</definedName>
    <definedName name="OSRRefE14_0x" localSheetId="2">Summary!$N$101:$O$101</definedName>
    <definedName name="OSRRefE14_10x" localSheetId="48">'300'!$N$88:$O$88</definedName>
    <definedName name="OSRRefE14_10x" localSheetId="49">'300 &amp; 317'!$N$103:$O$103</definedName>
    <definedName name="OSRRefE14_10x" localSheetId="54">'308'!$N$46:$O$46</definedName>
    <definedName name="OSRRefE14_10x" localSheetId="55">'311'!$N$45:$O$45</definedName>
    <definedName name="OSRRefE14_10x" localSheetId="58">'315'!$N$61:$O$61</definedName>
    <definedName name="OSRRefE14_10x" localSheetId="63">'317'!$N$42:$O$42</definedName>
    <definedName name="OSRRefE14_10x" localSheetId="57">'331'!$N$61:$O$61</definedName>
    <definedName name="OSRRefE14_10x" localSheetId="47">'Div 3'!$N$90:$O$90</definedName>
    <definedName name="OSRRefE14_10x" localSheetId="62">'Div 6'!$N$42:$O$42</definedName>
    <definedName name="OSRRefE14_10x" localSheetId="2">Summary!$N$111:$O$111</definedName>
    <definedName name="OSRRefE14_11x" localSheetId="48">'300'!$N$89:$O$89</definedName>
    <definedName name="OSRRefE14_11x" localSheetId="49">'300 &amp; 317'!$N$104:$O$104</definedName>
    <definedName name="OSRRefE14_11x" localSheetId="54">'308'!$N$47:$O$47</definedName>
    <definedName name="OSRRefE14_11x" localSheetId="55">'311'!$N$46:$O$46</definedName>
    <definedName name="OSRRefE14_11x" localSheetId="58">'315'!$N$62:$O$62</definedName>
    <definedName name="OSRRefE14_11x" localSheetId="63">'317'!$N$43:$O$43</definedName>
    <definedName name="OSRRefE14_11x" localSheetId="57">'331'!$N$62:$O$62</definedName>
    <definedName name="OSRRefE14_11x" localSheetId="47">'Div 3'!$N$91:$O$91</definedName>
    <definedName name="OSRRefE14_11x" localSheetId="62">'Div 6'!$N$43:$O$43</definedName>
    <definedName name="OSRRefE14_11x" localSheetId="2">Summary!$N$112:$O$112</definedName>
    <definedName name="OSRRefE14_12x" localSheetId="48">'300'!$N$90:$O$90</definedName>
    <definedName name="OSRRefE14_12x" localSheetId="49">'300 &amp; 317'!$N$105:$O$105</definedName>
    <definedName name="OSRRefE14_12x" localSheetId="54">'308'!$N$48:$O$48</definedName>
    <definedName name="OSRRefE14_12x" localSheetId="55">'311'!$N$47:$O$47</definedName>
    <definedName name="OSRRefE14_12x" localSheetId="58">'315'!$N$63:$O$63</definedName>
    <definedName name="OSRRefE14_12x" localSheetId="63">'317'!$N$44:$O$44</definedName>
    <definedName name="OSRRefE14_12x" localSheetId="57">'331'!$N$63:$O$63</definedName>
    <definedName name="OSRRefE14_12x" localSheetId="47">'Div 3'!$N$92:$O$92</definedName>
    <definedName name="OSRRefE14_12x" localSheetId="62">'Div 6'!$N$44:$O$44</definedName>
    <definedName name="OSRRefE14_12x" localSheetId="2">Summary!$N$113:$O$113</definedName>
    <definedName name="OSRRefE14_13x" localSheetId="48">'300'!$N$91:$O$91</definedName>
    <definedName name="OSRRefE14_13x" localSheetId="49">'300 &amp; 317'!$N$106:$O$106</definedName>
    <definedName name="OSRRefE14_13x" localSheetId="54">'308'!$N$49:$O$49</definedName>
    <definedName name="OSRRefE14_13x" localSheetId="55">'311'!$N$48:$O$48</definedName>
    <definedName name="OSRRefE14_13x" localSheetId="58">'315'!$N$64:$O$64</definedName>
    <definedName name="OSRRefE14_13x" localSheetId="63">'317'!$N$45:$O$45</definedName>
    <definedName name="OSRRefE14_13x" localSheetId="57">'331'!$N$64:$O$64</definedName>
    <definedName name="OSRRefE14_13x" localSheetId="47">'Div 3'!$N$93:$O$93</definedName>
    <definedName name="OSRRefE14_13x" localSheetId="62">'Div 6'!$N$45:$O$45</definedName>
    <definedName name="OSRRefE14_13x" localSheetId="2">Summary!$N$114:$O$114</definedName>
    <definedName name="OSRRefE14_14x" localSheetId="48">'300'!$N$92:$O$92</definedName>
    <definedName name="OSRRefE14_14x" localSheetId="49">'300 &amp; 317'!$N$107:$O$107</definedName>
    <definedName name="OSRRefE14_14x" localSheetId="54">'308'!$N$50:$O$50</definedName>
    <definedName name="OSRRefE14_14x" localSheetId="55">'311'!$N$49:$O$49</definedName>
    <definedName name="OSRRefE14_14x" localSheetId="58">'315'!$N$65:$O$65</definedName>
    <definedName name="OSRRefE14_14x" localSheetId="57">'331'!$N$65:$O$65</definedName>
    <definedName name="OSRRefE14_14x" localSheetId="47">'Div 3'!$N$94:$O$94</definedName>
    <definedName name="OSRRefE14_14x" localSheetId="2">Summary!$N$115:$O$115</definedName>
    <definedName name="OSRRefE14_15x" localSheetId="48">'300'!$N$93:$O$93</definedName>
    <definedName name="OSRRefE14_15x" localSheetId="49">'300 &amp; 317'!$N$108:$O$108</definedName>
    <definedName name="OSRRefE14_15x" localSheetId="54">'308'!$N$51:$O$51</definedName>
    <definedName name="OSRRefE14_15x" localSheetId="55">'311'!$N$50:$O$50</definedName>
    <definedName name="OSRRefE14_15x" localSheetId="58">'315'!$N$66:$O$66</definedName>
    <definedName name="OSRRefE14_15x" localSheetId="57">'331'!$N$66:$O$66</definedName>
    <definedName name="OSRRefE14_15x" localSheetId="47">'Div 3'!$N$95:$O$95</definedName>
    <definedName name="OSRRefE14_15x" localSheetId="2">Summary!$N$116:$O$116</definedName>
    <definedName name="OSRRefE14_16x" localSheetId="48">'300'!$N$94:$O$94</definedName>
    <definedName name="OSRRefE14_16x" localSheetId="49">'300 &amp; 317'!$N$109:$O$109</definedName>
    <definedName name="OSRRefE14_16x" localSheetId="58">'315'!$N$67:$O$67</definedName>
    <definedName name="OSRRefE14_16x" localSheetId="57">'331'!$N$67:$O$67</definedName>
    <definedName name="OSRRefE14_16x" localSheetId="47">'Div 3'!$N$96:$O$96</definedName>
    <definedName name="OSRRefE14_16x" localSheetId="2">Summary!$N$117:$O$117</definedName>
    <definedName name="OSRRefE14_17x" localSheetId="48">'300'!$N$95:$O$95</definedName>
    <definedName name="OSRRefE14_17x" localSheetId="49">'300 &amp; 317'!$N$110:$O$110</definedName>
    <definedName name="OSRRefE14_17x" localSheetId="58">'315'!$N$68:$O$68</definedName>
    <definedName name="OSRRefE14_17x" localSheetId="57">'331'!$N$68:$O$68</definedName>
    <definedName name="OSRRefE14_17x" localSheetId="47">'Div 3'!$N$97:$O$97</definedName>
    <definedName name="OSRRefE14_17x" localSheetId="2">Summary!$N$118:$O$118</definedName>
    <definedName name="OSRRefE14_18x" localSheetId="48">'300'!$N$96:$O$96</definedName>
    <definedName name="OSRRefE14_18x" localSheetId="49">'300 &amp; 317'!$N$111:$O$111</definedName>
    <definedName name="OSRRefE14_18x" localSheetId="58">'315'!$N$69:$O$69</definedName>
    <definedName name="OSRRefE14_18x" localSheetId="57">'331'!$N$69:$O$69</definedName>
    <definedName name="OSRRefE14_18x" localSheetId="47">'Div 3'!$N$98:$O$98</definedName>
    <definedName name="OSRRefE14_18x" localSheetId="2">Summary!$N$119:$O$119</definedName>
    <definedName name="OSRRefE14_19x" localSheetId="48">'300'!$N$97:$O$97</definedName>
    <definedName name="OSRRefE14_19x" localSheetId="49">'300 &amp; 317'!$N$112:$O$112</definedName>
    <definedName name="OSRRefE14_19x" localSheetId="58">'315'!$N$70:$O$70</definedName>
    <definedName name="OSRRefE14_19x" localSheetId="57">'331'!$N$70:$O$70</definedName>
    <definedName name="OSRRefE14_19x" localSheetId="47">'Div 3'!$N$99:$O$99</definedName>
    <definedName name="OSRRefE14_19x" localSheetId="2">Summary!$N$120:$O$120</definedName>
    <definedName name="OSRRefE14_1x" localSheetId="48">'300'!$N$79:$O$79</definedName>
    <definedName name="OSRRefE14_1x" localSheetId="49">'300 &amp; 317'!$N$94:$O$94</definedName>
    <definedName name="OSRRefE14_1x" localSheetId="53">'307'!$N$25:$O$25</definedName>
    <definedName name="OSRRefE14_1x" localSheetId="54">'308'!$N$37:$O$37</definedName>
    <definedName name="OSRRefE14_1x" localSheetId="64">'310'!$N$21:$O$21</definedName>
    <definedName name="OSRRefE14_1x" localSheetId="72">'310 &amp; 491'!$N$27:$O$27</definedName>
    <definedName name="OSRRefE14_1x" localSheetId="55">'311'!$N$36:$O$36</definedName>
    <definedName name="OSRRefE14_1x" localSheetId="58">'315'!$N$52:$O$52</definedName>
    <definedName name="OSRRefE14_1x" localSheetId="63">'317'!$N$33:$O$33</definedName>
    <definedName name="OSRRefE14_1x" localSheetId="67">'321'!$N$16:$O$16</definedName>
    <definedName name="OSRRefE14_1x" localSheetId="68">'322'!$N$15:$O$15</definedName>
    <definedName name="OSRRefE14_1x" localSheetId="56">'324'!$N$18:$O$18</definedName>
    <definedName name="OSRRefE14_1x" localSheetId="69">'325'!$N$14:$O$14</definedName>
    <definedName name="OSRRefE14_1x" localSheetId="59">'326'!$N$35:$O$35</definedName>
    <definedName name="OSRRefE14_1x" localSheetId="70">'327'!$N$16:$O$16</definedName>
    <definedName name="OSRRefE14_1x" localSheetId="52">'330'!$N$28:$O$28</definedName>
    <definedName name="OSRRefE14_1x" localSheetId="57">'331'!$N$52:$O$52</definedName>
    <definedName name="OSRRefE14_1x" localSheetId="60">'332'!$N$26:$O$26</definedName>
    <definedName name="OSRRefE14_1x" localSheetId="74">'405'!$N$16:$O$16</definedName>
    <definedName name="OSRRefE14_1x" localSheetId="79">'414'!$N$17:$O$17</definedName>
    <definedName name="OSRRefE14_1x" localSheetId="80">'415'!$N$18:$O$18</definedName>
    <definedName name="OSRRefE14_1x" localSheetId="81">'418'!$N$16:$O$16</definedName>
    <definedName name="OSRRefE14_1x" localSheetId="89">'433'!$N$18:$O$18</definedName>
    <definedName name="OSRRefE14_1x" localSheetId="91">'444'!$N$18:$O$18</definedName>
    <definedName name="OSRRefE14_1x" localSheetId="73">'491'!$N$21:$O$21</definedName>
    <definedName name="OSRRefE14_1x" localSheetId="87">'492'!$N$18:$O$18</definedName>
    <definedName name="OSRRefE14_1x" localSheetId="47">'Div 3'!$N$81:$O$81</definedName>
    <definedName name="OSRRefE14_1x" localSheetId="71">'Div 4'!$N$23:$O$23</definedName>
    <definedName name="OSRRefE14_1x" localSheetId="62">'Div 6'!$N$33:$O$33</definedName>
    <definedName name="OSRRefE14_1x" localSheetId="2">Summary!$N$102:$O$102</definedName>
    <definedName name="OSRRefE14_20x" localSheetId="48">'300'!$N$98:$O$98</definedName>
    <definedName name="OSRRefE14_20x" localSheetId="49">'300 &amp; 317'!$N$113:$O$113</definedName>
    <definedName name="OSRRefE14_20x" localSheetId="58">'315'!$N$71:$O$71</definedName>
    <definedName name="OSRRefE14_20x" localSheetId="57">'331'!$N$71:$O$71</definedName>
    <definedName name="OSRRefE14_20x" localSheetId="47">'Div 3'!$N$100:$O$100</definedName>
    <definedName name="OSRRefE14_20x" localSheetId="2">Summary!$N$121:$O$121</definedName>
    <definedName name="OSRRefE14_21x" localSheetId="48">'300'!$N$99:$O$99</definedName>
    <definedName name="OSRRefE14_21x" localSheetId="49">'300 &amp; 317'!$N$114:$O$114</definedName>
    <definedName name="OSRRefE14_21x" localSheetId="58">'315'!$N$72:$O$72</definedName>
    <definedName name="OSRRefE14_21x" localSheetId="57">'331'!$N$72:$O$72</definedName>
    <definedName name="OSRRefE14_21x" localSheetId="47">'Div 3'!$N$101:$O$101</definedName>
    <definedName name="OSRRefE14_21x" localSheetId="2">Summary!$N$122:$O$122</definedName>
    <definedName name="OSRRefE14_22x" localSheetId="48">'300'!$N$100:$O$100</definedName>
    <definedName name="OSRRefE14_22x" localSheetId="49">'300 &amp; 317'!$N$115:$O$115</definedName>
    <definedName name="OSRRefE14_22x" localSheetId="58">'315'!$N$73:$O$73</definedName>
    <definedName name="OSRRefE14_22x" localSheetId="57">'331'!$N$73:$O$73</definedName>
    <definedName name="OSRRefE14_22x" localSheetId="47">'Div 3'!$N$102:$O$102</definedName>
    <definedName name="OSRRefE14_22x" localSheetId="2">Summary!$N$123:$O$123</definedName>
    <definedName name="OSRRefE14_23x" localSheetId="48">'300'!$N$101:$O$101</definedName>
    <definedName name="OSRRefE14_23x" localSheetId="49">'300 &amp; 317'!$N$116:$O$116</definedName>
    <definedName name="OSRRefE14_23x" localSheetId="57">'331'!$N$74:$O$74</definedName>
    <definedName name="OSRRefE14_23x" localSheetId="47">'Div 3'!$N$103:$O$103</definedName>
    <definedName name="OSRRefE14_23x" localSheetId="2">Summary!$N$124:$O$124</definedName>
    <definedName name="OSRRefE14_24x" localSheetId="48">'300'!$N$102:$O$102</definedName>
    <definedName name="OSRRefE14_24x" localSheetId="49">'300 &amp; 317'!$N$117:$O$117</definedName>
    <definedName name="OSRRefE14_24x" localSheetId="47">'Div 3'!$N$104:$O$104</definedName>
    <definedName name="OSRRefE14_24x" localSheetId="2">Summary!$N$125:$O$125</definedName>
    <definedName name="OSRRefE14_25x" localSheetId="48">'300'!$N$103:$O$103</definedName>
    <definedName name="OSRRefE14_25x" localSheetId="49">'300 &amp; 317'!$N$118:$O$118</definedName>
    <definedName name="OSRRefE14_25x" localSheetId="47">'Div 3'!$N$105:$O$105</definedName>
    <definedName name="OSRRefE14_25x" localSheetId="2">Summary!$N$126:$O$126</definedName>
    <definedName name="OSRRefE14_26x" localSheetId="48">'300'!$N$104:$O$104</definedName>
    <definedName name="OSRRefE14_26x" localSheetId="49">'300 &amp; 317'!$N$119:$O$119</definedName>
    <definedName name="OSRRefE14_26x" localSheetId="47">'Div 3'!$N$106:$O$106</definedName>
    <definedName name="OSRRefE14_26x" localSheetId="2">Summary!$N$127:$O$127</definedName>
    <definedName name="OSRRefE14_27x" localSheetId="48">'300'!$N$105:$O$105</definedName>
    <definedName name="OSRRefE14_27x" localSheetId="49">'300 &amp; 317'!$N$120:$O$120</definedName>
    <definedName name="OSRRefE14_27x" localSheetId="47">'Div 3'!$N$107:$O$107</definedName>
    <definedName name="OSRRefE14_27x" localSheetId="2">Summary!$N$128:$O$128</definedName>
    <definedName name="OSRRefE14_28x" localSheetId="48">'300'!$N$106:$O$106</definedName>
    <definedName name="OSRRefE14_28x" localSheetId="49">'300 &amp; 317'!$N$121:$O$121</definedName>
    <definedName name="OSRRefE14_28x" localSheetId="47">'Div 3'!$N$108:$O$108</definedName>
    <definedName name="OSRRefE14_28x" localSheetId="2">Summary!$N$129:$O$129</definedName>
    <definedName name="OSRRefE14_29x" localSheetId="48">'300'!$N$107:$O$107</definedName>
    <definedName name="OSRRefE14_29x" localSheetId="49">'300 &amp; 317'!$N$122:$O$122</definedName>
    <definedName name="OSRRefE14_29x" localSheetId="47">'Div 3'!$N$109:$O$109</definedName>
    <definedName name="OSRRefE14_29x" localSheetId="2">Summary!$N$130:$O$130</definedName>
    <definedName name="OSRRefE14_2x" localSheetId="48">'300'!$N$80:$O$80</definedName>
    <definedName name="OSRRefE14_2x" localSheetId="49">'300 &amp; 317'!$N$95:$O$95</definedName>
    <definedName name="OSRRefE14_2x" localSheetId="53">'307'!$N$26:$O$26</definedName>
    <definedName name="OSRRefE14_2x" localSheetId="54">'308'!$N$38:$O$38</definedName>
    <definedName name="OSRRefE14_2x" localSheetId="64">'310'!$N$22:$O$22</definedName>
    <definedName name="OSRRefE14_2x" localSheetId="72">'310 &amp; 491'!$N$28:$O$28</definedName>
    <definedName name="OSRRefE14_2x" localSheetId="55">'311'!$N$37:$O$37</definedName>
    <definedName name="OSRRefE14_2x" localSheetId="58">'315'!$N$53:$O$53</definedName>
    <definedName name="OSRRefE14_2x" localSheetId="63">'317'!$N$34:$O$34</definedName>
    <definedName name="OSRRefE14_2x" localSheetId="56">'324'!$N$19:$O$19</definedName>
    <definedName name="OSRRefE14_2x" localSheetId="59">'326'!$N$36:$O$36</definedName>
    <definedName name="OSRRefE14_2x" localSheetId="52">'330'!$N$29:$O$29</definedName>
    <definedName name="OSRRefE14_2x" localSheetId="57">'331'!$N$53:$O$53</definedName>
    <definedName name="OSRRefE14_2x" localSheetId="80">'415'!$N$19:$O$19</definedName>
    <definedName name="OSRRefE14_2x" localSheetId="89">'433'!$N$19:$O$19</definedName>
    <definedName name="OSRRefE14_2x" localSheetId="91">'444'!$N$19:$O$19</definedName>
    <definedName name="OSRRefE14_2x" localSheetId="73">'491'!$N$22:$O$22</definedName>
    <definedName name="OSRRefE14_2x" localSheetId="87">'492'!$N$19:$O$19</definedName>
    <definedName name="OSRRefE14_2x" localSheetId="47">'Div 3'!$N$82:$O$82</definedName>
    <definedName name="OSRRefE14_2x" localSheetId="71">'Div 4'!$N$24:$O$24</definedName>
    <definedName name="OSRRefE14_2x" localSheetId="62">'Div 6'!$N$34:$O$34</definedName>
    <definedName name="OSRRefE14_2x" localSheetId="2">Summary!$N$103:$O$103</definedName>
    <definedName name="OSRRefE14_30x" localSheetId="48">'300'!$N$108:$O$108</definedName>
    <definedName name="OSRRefE14_30x" localSheetId="49">'300 &amp; 317'!$N$123:$O$123</definedName>
    <definedName name="OSRRefE14_30x" localSheetId="47">'Div 3'!$N$110:$O$110</definedName>
    <definedName name="OSRRefE14_30x" localSheetId="2">Summary!$N$131:$O$131</definedName>
    <definedName name="OSRRefE14_31x" localSheetId="48">'300'!$N$109:$O$109</definedName>
    <definedName name="OSRRefE14_31x" localSheetId="49">'300 &amp; 317'!$N$124:$O$124</definedName>
    <definedName name="OSRRefE14_31x" localSheetId="47">'Div 3'!$N$111:$O$111</definedName>
    <definedName name="OSRRefE14_31x" localSheetId="2">Summary!$N$132:$O$132</definedName>
    <definedName name="OSRRefE14_32x" localSheetId="48">'300'!$N$110:$O$110</definedName>
    <definedName name="OSRRefE14_32x" localSheetId="49">'300 &amp; 317'!$N$125:$O$125</definedName>
    <definedName name="OSRRefE14_32x" localSheetId="47">'Div 3'!$N$112:$O$112</definedName>
    <definedName name="OSRRefE14_32x" localSheetId="2">Summary!$N$133:$O$133</definedName>
    <definedName name="OSRRefE14_33x" localSheetId="48">'300'!$N$111:$O$111</definedName>
    <definedName name="OSRRefE14_33x" localSheetId="49">'300 &amp; 317'!$N$126:$O$126</definedName>
    <definedName name="OSRRefE14_33x" localSheetId="47">'Div 3'!$N$113:$O$113</definedName>
    <definedName name="OSRRefE14_33x" localSheetId="2">Summary!$N$134:$O$134</definedName>
    <definedName name="OSRRefE14_34x" localSheetId="48">'300'!$N$112:$O$112</definedName>
    <definedName name="OSRRefE14_34x" localSheetId="49">'300 &amp; 317'!$N$127:$O$127</definedName>
    <definedName name="OSRRefE14_34x" localSheetId="47">'Div 3'!$N$114:$O$114</definedName>
    <definedName name="OSRRefE14_34x" localSheetId="2">Summary!$N$135:$O$135</definedName>
    <definedName name="OSRRefE14_35x" localSheetId="48">'300'!$N$113:$O$113</definedName>
    <definedName name="OSRRefE14_35x" localSheetId="49">'300 &amp; 317'!$N$128:$O$128</definedName>
    <definedName name="OSRRefE14_35x" localSheetId="47">'Div 3'!$N$115:$O$115</definedName>
    <definedName name="OSRRefE14_35x" localSheetId="2">Summary!$N$136:$O$136</definedName>
    <definedName name="OSRRefE14_36x" localSheetId="48">'300'!$N$114:$O$114</definedName>
    <definedName name="OSRRefE14_36x" localSheetId="49">'300 &amp; 317'!$N$129:$O$129</definedName>
    <definedName name="OSRRefE14_36x" localSheetId="47">'Div 3'!$N$116:$O$116</definedName>
    <definedName name="OSRRefE14_36x" localSheetId="2">Summary!$N$137:$O$137</definedName>
    <definedName name="OSRRefE14_37x" localSheetId="48">'300'!$N$115:$O$115</definedName>
    <definedName name="OSRRefE14_37x" localSheetId="49">'300 &amp; 317'!$N$130:$O$130</definedName>
    <definedName name="OSRRefE14_37x" localSheetId="47">'Div 3'!$N$117:$O$117</definedName>
    <definedName name="OSRRefE14_37x" localSheetId="2">Summary!$N$138:$O$138</definedName>
    <definedName name="OSRRefE14_38x" localSheetId="48">'300'!$N$116:$O$116</definedName>
    <definedName name="OSRRefE14_38x" localSheetId="49">'300 &amp; 317'!$N$131:$O$131</definedName>
    <definedName name="OSRRefE14_38x" localSheetId="47">'Div 3'!$N$118:$O$118</definedName>
    <definedName name="OSRRefE14_38x" localSheetId="2">Summary!$N$139:$O$139</definedName>
    <definedName name="OSRRefE14_39x" localSheetId="49">'300 &amp; 317'!$N$132:$O$132</definedName>
    <definedName name="OSRRefE14_39x" localSheetId="47">'Div 3'!$N$119:$O$119</definedName>
    <definedName name="OSRRefE14_39x" localSheetId="2">Summary!$N$140:$O$140</definedName>
    <definedName name="OSRRefE14_3x" localSheetId="48">'300'!$N$81:$O$81</definedName>
    <definedName name="OSRRefE14_3x" localSheetId="49">'300 &amp; 317'!$N$96:$O$96</definedName>
    <definedName name="OSRRefE14_3x" localSheetId="53">'307'!$N$27:$O$27</definedName>
    <definedName name="OSRRefE14_3x" localSheetId="54">'308'!$N$39:$O$39</definedName>
    <definedName name="OSRRefE14_3x" localSheetId="55">'311'!$N$38:$O$38</definedName>
    <definedName name="OSRRefE14_3x" localSheetId="58">'315'!$N$54:$O$54</definedName>
    <definedName name="OSRRefE14_3x" localSheetId="63">'317'!$N$35:$O$35</definedName>
    <definedName name="OSRRefE14_3x" localSheetId="59">'326'!$N$37:$O$37</definedName>
    <definedName name="OSRRefE14_3x" localSheetId="52">'330'!$N$30:$O$30</definedName>
    <definedName name="OSRRefE14_3x" localSheetId="57">'331'!$N$54:$O$54</definedName>
    <definedName name="OSRRefE14_3x" localSheetId="47">'Div 3'!$N$83:$O$83</definedName>
    <definedName name="OSRRefE14_3x" localSheetId="62">'Div 6'!$N$35:$O$35</definedName>
    <definedName name="OSRRefE14_3x" localSheetId="2">Summary!$N$104:$O$104</definedName>
    <definedName name="OSRRefE14_40x" localSheetId="49">'300 &amp; 317'!$N$133:$O$133</definedName>
    <definedName name="OSRRefE14_40x" localSheetId="47">'Div 3'!$N$120:$O$120</definedName>
    <definedName name="OSRRefE14_40x" localSheetId="2">Summary!$N$141:$O$141</definedName>
    <definedName name="OSRRefE14_41x" localSheetId="49">'300 &amp; 317'!$N$134:$O$134</definedName>
    <definedName name="OSRRefE14_41x" localSheetId="2">Summary!$N$142:$O$142</definedName>
    <definedName name="OSRRefE14_42x" localSheetId="49">'300 &amp; 317'!$N$135:$O$135</definedName>
    <definedName name="OSRRefE14_42x" localSheetId="2">Summary!$N$143:$O$143</definedName>
    <definedName name="OSRRefE14_43x" localSheetId="49">'300 &amp; 317'!$N$136:$O$136</definedName>
    <definedName name="OSRRefE14_43x" localSheetId="2">Summary!$N$144:$O$144</definedName>
    <definedName name="OSRRefE14_44x" localSheetId="49">'300 &amp; 317'!$N$137:$O$137</definedName>
    <definedName name="OSRRefE14_44x" localSheetId="2">Summary!$N$145:$O$145</definedName>
    <definedName name="OSRRefE14_45x" localSheetId="49">'300 &amp; 317'!$N$138:$O$138</definedName>
    <definedName name="OSRRefE14_45x" localSheetId="2">Summary!$N$146:$O$146</definedName>
    <definedName name="OSRRefE14_46x" localSheetId="49">'300 &amp; 317'!$N$139:$O$139</definedName>
    <definedName name="OSRRefE14_46x" localSheetId="2">Summary!$N$147:$O$147</definedName>
    <definedName name="OSRRefE14_47x" localSheetId="49">'300 &amp; 317'!$N$140:$O$140</definedName>
    <definedName name="OSRRefE14_47x" localSheetId="2">Summary!$N$148:$O$148</definedName>
    <definedName name="OSRRefE14_48x" localSheetId="2">Summary!$N$149:$O$149</definedName>
    <definedName name="OSRRefE14_49x" localSheetId="2">Summary!$N$150:$O$150</definedName>
    <definedName name="OSRRefE14_4x" localSheetId="48">'300'!$N$82:$O$82</definedName>
    <definedName name="OSRRefE14_4x" localSheetId="49">'300 &amp; 317'!$N$97:$O$97</definedName>
    <definedName name="OSRRefE14_4x" localSheetId="53">'307'!$N$28:$O$28</definedName>
    <definedName name="OSRRefE14_4x" localSheetId="54">'308'!$N$40:$O$40</definedName>
    <definedName name="OSRRefE14_4x" localSheetId="55">'311'!$N$39:$O$39</definedName>
    <definedName name="OSRRefE14_4x" localSheetId="58">'315'!$N$55:$O$55</definedName>
    <definedName name="OSRRefE14_4x" localSheetId="63">'317'!$N$36:$O$36</definedName>
    <definedName name="OSRRefE14_4x" localSheetId="59">'326'!$N$38:$O$38</definedName>
    <definedName name="OSRRefE14_4x" localSheetId="52">'330'!$N$31:$O$31</definedName>
    <definedName name="OSRRefE14_4x" localSheetId="57">'331'!$N$55:$O$55</definedName>
    <definedName name="OSRRefE14_4x" localSheetId="47">'Div 3'!$N$84:$O$84</definedName>
    <definedName name="OSRRefE14_4x" localSheetId="62">'Div 6'!$N$36:$O$36</definedName>
    <definedName name="OSRRefE14_4x" localSheetId="2">Summary!$N$105:$O$105</definedName>
    <definedName name="OSRRefE14_5x" localSheetId="48">'300'!$N$83:$O$83</definedName>
    <definedName name="OSRRefE14_5x" localSheetId="49">'300 &amp; 317'!$N$98:$O$98</definedName>
    <definedName name="OSRRefE14_5x" localSheetId="53">'307'!$N$29:$O$29</definedName>
    <definedName name="OSRRefE14_5x" localSheetId="54">'308'!$N$41:$O$41</definedName>
    <definedName name="OSRRefE14_5x" localSheetId="55">'311'!$N$40:$O$40</definedName>
    <definedName name="OSRRefE14_5x" localSheetId="58">'315'!$N$56:$O$56</definedName>
    <definedName name="OSRRefE14_5x" localSheetId="63">'317'!$N$37:$O$37</definedName>
    <definedName name="OSRRefE14_5x" localSheetId="59">'326'!$N$39:$O$39</definedName>
    <definedName name="OSRRefE14_5x" localSheetId="52">'330'!$N$32:$O$32</definedName>
    <definedName name="OSRRefE14_5x" localSheetId="57">'331'!$N$56:$O$56</definedName>
    <definedName name="OSRRefE14_5x" localSheetId="47">'Div 3'!$N$85:$O$85</definedName>
    <definedName name="OSRRefE14_5x" localSheetId="62">'Div 6'!$N$37:$O$37</definedName>
    <definedName name="OSRRefE14_5x" localSheetId="2">Summary!$N$106:$O$106</definedName>
    <definedName name="OSRRefE14_6x" localSheetId="48">'300'!$N$84:$O$84</definedName>
    <definedName name="OSRRefE14_6x" localSheetId="49">'300 &amp; 317'!$N$99:$O$99</definedName>
    <definedName name="OSRRefE14_6x" localSheetId="53">'307'!$N$30:$O$30</definedName>
    <definedName name="OSRRefE14_6x" localSheetId="54">'308'!$N$42:$O$42</definedName>
    <definedName name="OSRRefE14_6x" localSheetId="55">'311'!$N$41:$O$41</definedName>
    <definedName name="OSRRefE14_6x" localSheetId="58">'315'!$N$57:$O$57</definedName>
    <definedName name="OSRRefE14_6x" localSheetId="63">'317'!$N$38:$O$38</definedName>
    <definedName name="OSRRefE14_6x" localSheetId="59">'326'!$N$40:$O$40</definedName>
    <definedName name="OSRRefE14_6x" localSheetId="52">'330'!$N$33:$O$33</definedName>
    <definedName name="OSRRefE14_6x" localSheetId="57">'331'!$N$57:$O$57</definedName>
    <definedName name="OSRRefE14_6x" localSheetId="47">'Div 3'!$N$86:$O$86</definedName>
    <definedName name="OSRRefE14_6x" localSheetId="62">'Div 6'!$N$38:$O$38</definedName>
    <definedName name="OSRRefE14_6x" localSheetId="2">Summary!$N$107:$O$107</definedName>
    <definedName name="OSRRefE14_7x" localSheetId="48">'300'!$N$85:$O$85</definedName>
    <definedName name="OSRRefE14_7x" localSheetId="49">'300 &amp; 317'!$N$100:$O$100</definedName>
    <definedName name="OSRRefE14_7x" localSheetId="53">'307'!$N$31:$O$31</definedName>
    <definedName name="OSRRefE14_7x" localSheetId="54">'308'!$N$43:$O$43</definedName>
    <definedName name="OSRRefE14_7x" localSheetId="55">'311'!$N$42:$O$42</definedName>
    <definedName name="OSRRefE14_7x" localSheetId="58">'315'!$N$58:$O$58</definedName>
    <definedName name="OSRRefE14_7x" localSheetId="63">'317'!$N$39:$O$39</definedName>
    <definedName name="OSRRefE14_7x" localSheetId="52">'330'!$N$34:$O$34</definedName>
    <definedName name="OSRRefE14_7x" localSheetId="57">'331'!$N$58:$O$58</definedName>
    <definedName name="OSRRefE14_7x" localSheetId="47">'Div 3'!$N$87:$O$87</definedName>
    <definedName name="OSRRefE14_7x" localSheetId="62">'Div 6'!$N$39:$O$39</definedName>
    <definedName name="OSRRefE14_7x" localSheetId="2">Summary!$N$108:$O$108</definedName>
    <definedName name="OSRRefE14_8x" localSheetId="48">'300'!$N$86:$O$86</definedName>
    <definedName name="OSRRefE14_8x" localSheetId="49">'300 &amp; 317'!$N$101:$O$101</definedName>
    <definedName name="OSRRefE14_8x" localSheetId="54">'308'!$N$44:$O$44</definedName>
    <definedName name="OSRRefE14_8x" localSheetId="55">'311'!$N$43:$O$43</definedName>
    <definedName name="OSRRefE14_8x" localSheetId="58">'315'!$N$59:$O$59</definedName>
    <definedName name="OSRRefE14_8x" localSheetId="63">'317'!$N$40:$O$40</definedName>
    <definedName name="OSRRefE14_8x" localSheetId="57">'331'!$N$59:$O$59</definedName>
    <definedName name="OSRRefE14_8x" localSheetId="47">'Div 3'!$N$88:$O$88</definedName>
    <definedName name="OSRRefE14_8x" localSheetId="62">'Div 6'!$N$40:$O$40</definedName>
    <definedName name="OSRRefE14_8x" localSheetId="2">Summary!$N$109:$O$109</definedName>
    <definedName name="OSRRefE14_9x" localSheetId="48">'300'!$N$87:$O$87</definedName>
    <definedName name="OSRRefE14_9x" localSheetId="49">'300 &amp; 317'!$N$102:$O$102</definedName>
    <definedName name="OSRRefE14_9x" localSheetId="54">'308'!$N$45:$O$45</definedName>
    <definedName name="OSRRefE14_9x" localSheetId="55">'311'!$N$44:$O$44</definedName>
    <definedName name="OSRRefE14_9x" localSheetId="58">'315'!$N$60:$O$60</definedName>
    <definedName name="OSRRefE14_9x" localSheetId="63">'317'!$N$41:$O$41</definedName>
    <definedName name="OSRRefE14_9x" localSheetId="57">'331'!$N$60:$O$60</definedName>
    <definedName name="OSRRefE14_9x" localSheetId="47">'Div 3'!$N$89:$O$89</definedName>
    <definedName name="OSRRefE14_9x" localSheetId="62">'Div 6'!$N$41:$O$41</definedName>
    <definedName name="OSRRefE14_9x" localSheetId="2">Summary!$N$110:$O$110</definedName>
    <definedName name="OSRRefE14x_0" localSheetId="48">'300'!$N$78:$N$116</definedName>
    <definedName name="OSRRefE14x_0" localSheetId="49">'300 &amp; 317'!$N$93:$N$140</definedName>
    <definedName name="OSRRefE14x_0" localSheetId="50">'301'!$N$13</definedName>
    <definedName name="OSRRefE14x_0" localSheetId="53">'307'!$N$24:$N$31</definedName>
    <definedName name="OSRRefE14x_0" localSheetId="54">'308'!$N$36:$N$51</definedName>
    <definedName name="OSRRefE14x_0" localSheetId="65">'309'!$N$14</definedName>
    <definedName name="OSRRefE14x_0" localSheetId="64">'310'!$N$20:$N$22</definedName>
    <definedName name="OSRRefE14x_0" localSheetId="72">'310 &amp; 491'!$N$26:$N$28</definedName>
    <definedName name="OSRRefE14x_0" localSheetId="55">'311'!$N$35:$N$50</definedName>
    <definedName name="OSRRefE14x_0" localSheetId="66">'313'!$N$17</definedName>
    <definedName name="OSRRefE14x_0" localSheetId="58">'315'!$N$51:$N$73</definedName>
    <definedName name="OSRRefE14x_0" localSheetId="63">'317'!$N$32:$N$45</definedName>
    <definedName name="OSRRefE14x_0" localSheetId="67">'321'!$N$15:$N$16</definedName>
    <definedName name="OSRRefE14x_0" localSheetId="68">'322'!$N$14:$N$15</definedName>
    <definedName name="OSRRefE14x_0" localSheetId="56">'324'!$N$17:$N$19</definedName>
    <definedName name="OSRRefE14x_0" localSheetId="69">'325'!$N$13:$N$14</definedName>
    <definedName name="OSRRefE14x_0" localSheetId="59">'326'!$N$34:$N$40</definedName>
    <definedName name="OSRRefE14x_0" localSheetId="70">'327'!$N$15:$N$16</definedName>
    <definedName name="OSRRefE14x_0" localSheetId="52">'330'!$N$27:$N$34</definedName>
    <definedName name="OSRRefE14x_0" localSheetId="57">'331'!$N$51:$N$74</definedName>
    <definedName name="OSRRefE14x_0" localSheetId="60">'332'!$N$25:$N$26</definedName>
    <definedName name="OSRRefE14x_0" localSheetId="74">'405'!$N$15:$N$16</definedName>
    <definedName name="OSRRefE14x_0" localSheetId="77">'412'!$N$14</definedName>
    <definedName name="OSRRefE14x_0" localSheetId="78">'413'!$N$15</definedName>
    <definedName name="OSRRefE14x_0" localSheetId="79">'414'!$N$16:$N$17</definedName>
    <definedName name="OSRRefE14x_0" localSheetId="80">'415'!$N$17:$N$19</definedName>
    <definedName name="OSRRefE14x_0" localSheetId="81">'418'!$N$15:$N$16</definedName>
    <definedName name="OSRRefE14x_0" localSheetId="85">'425'!$N$13</definedName>
    <definedName name="OSRRefE14x_0" localSheetId="89">'433'!$N$17:$N$19</definedName>
    <definedName name="OSRRefE14x_0" localSheetId="91">'444'!$N$17:$N$19</definedName>
    <definedName name="OSRRefE14x_0" localSheetId="92">'450'!$N$15</definedName>
    <definedName name="OSRRefE14x_0" localSheetId="73">'491'!$N$20:$N$22</definedName>
    <definedName name="OSRRefE14x_0" localSheetId="87">'492'!$N$17:$N$19</definedName>
    <definedName name="OSRRefE14x_0" localSheetId="47">'Div 3'!$N$80:$N$120</definedName>
    <definedName name="OSRRefE14x_0" localSheetId="71">'Div 4'!$N$22:$N$24</definedName>
    <definedName name="OSRRefE14x_0" localSheetId="62">'Div 6'!$N$32:$N$45</definedName>
    <definedName name="OSRRefE14x_0" localSheetId="2">Summary!$N$101:$N$150</definedName>
    <definedName name="OSRRefE14x_1" localSheetId="48">'300'!$O$78:$O$116</definedName>
    <definedName name="OSRRefE14x_1" localSheetId="49">'300 &amp; 317'!$O$93:$O$140</definedName>
    <definedName name="OSRRefE14x_1" localSheetId="50">'301'!$O$13</definedName>
    <definedName name="OSRRefE14x_1" localSheetId="53">'307'!$O$24:$O$31</definedName>
    <definedName name="OSRRefE14x_1" localSheetId="54">'308'!$O$36:$O$51</definedName>
    <definedName name="OSRRefE14x_1" localSheetId="65">'309'!$O$14</definedName>
    <definedName name="OSRRefE14x_1" localSheetId="64">'310'!$O$20:$O$22</definedName>
    <definedName name="OSRRefE14x_1" localSheetId="72">'310 &amp; 491'!$O$26:$O$28</definedName>
    <definedName name="OSRRefE14x_1" localSheetId="55">'311'!$O$35:$O$50</definedName>
    <definedName name="OSRRefE14x_1" localSheetId="66">'313'!$O$17</definedName>
    <definedName name="OSRRefE14x_1" localSheetId="58">'315'!$O$51:$O$73</definedName>
    <definedName name="OSRRefE14x_1" localSheetId="63">'317'!$O$32:$O$45</definedName>
    <definedName name="OSRRefE14x_1" localSheetId="67">'321'!$O$15:$O$16</definedName>
    <definedName name="OSRRefE14x_1" localSheetId="68">'322'!$O$14:$O$15</definedName>
    <definedName name="OSRRefE14x_1" localSheetId="56">'324'!$O$17:$O$19</definedName>
    <definedName name="OSRRefE14x_1" localSheetId="69">'325'!$O$13:$O$14</definedName>
    <definedName name="OSRRefE14x_1" localSheetId="59">'326'!$O$34:$O$40</definedName>
    <definedName name="OSRRefE14x_1" localSheetId="70">'327'!$O$15:$O$16</definedName>
    <definedName name="OSRRefE14x_1" localSheetId="52">'330'!$O$27:$O$34</definedName>
    <definedName name="OSRRefE14x_1" localSheetId="57">'331'!$O$51:$O$74</definedName>
    <definedName name="OSRRefE14x_1" localSheetId="60">'332'!$O$25:$O$26</definedName>
    <definedName name="OSRRefE14x_1" localSheetId="74">'405'!$O$15:$O$16</definedName>
    <definedName name="OSRRefE14x_1" localSheetId="77">'412'!$O$14</definedName>
    <definedName name="OSRRefE14x_1" localSheetId="78">'413'!$O$15</definedName>
    <definedName name="OSRRefE14x_1" localSheetId="79">'414'!$O$16:$O$17</definedName>
    <definedName name="OSRRefE14x_1" localSheetId="80">'415'!$O$17:$O$19</definedName>
    <definedName name="OSRRefE14x_1" localSheetId="81">'418'!$O$15:$O$16</definedName>
    <definedName name="OSRRefE14x_1" localSheetId="85">'425'!$O$13</definedName>
    <definedName name="OSRRefE14x_1" localSheetId="89">'433'!$O$17:$O$19</definedName>
    <definedName name="OSRRefE14x_1" localSheetId="91">'444'!$O$17:$O$19</definedName>
    <definedName name="OSRRefE14x_1" localSheetId="92">'450'!$O$15</definedName>
    <definedName name="OSRRefE14x_1" localSheetId="73">'491'!$O$20:$O$22</definedName>
    <definedName name="OSRRefE14x_1" localSheetId="87">'492'!$O$17:$O$19</definedName>
    <definedName name="OSRRefE14x_1" localSheetId="47">'Div 3'!$O$80:$O$120</definedName>
    <definedName name="OSRRefE14x_1" localSheetId="71">'Div 4'!$O$22:$O$24</definedName>
    <definedName name="OSRRefE14x_1" localSheetId="62">'Div 6'!$O$32:$O$45</definedName>
    <definedName name="OSRRefE14x_1" localSheetId="2">Summary!$O$101:$O$150</definedName>
    <definedName name="OSRRefE20_0x" localSheetId="40">'200'!$N$18:$O$18</definedName>
    <definedName name="OSRRefE20_0x" localSheetId="41">'201'!$N$18:$O$18</definedName>
    <definedName name="OSRRefE20_0x" localSheetId="42">'202'!$N$18:$O$18</definedName>
    <definedName name="OSRRefE20_0x" localSheetId="43">'203'!$N$18:$O$18</definedName>
    <definedName name="OSRRefE20_0x" localSheetId="44">'204'!$N$18:$O$18</definedName>
    <definedName name="OSRRefE20_0x" localSheetId="45">'205'!$N$18:$O$18</definedName>
    <definedName name="OSRRefE20_0x" localSheetId="46">'206'!$N$18:$O$18</definedName>
    <definedName name="OSRRefE20_0x" localSheetId="48">'300'!$N$122:$O$122</definedName>
    <definedName name="OSRRefE20_0x" localSheetId="49">'300 &amp; 317'!$N$146:$O$146</definedName>
    <definedName name="OSRRefE20_0x" localSheetId="50">'301'!$N$19:$O$19</definedName>
    <definedName name="OSRRefE20_0x" localSheetId="51">'306'!$N$18:$O$18</definedName>
    <definedName name="OSRRefE20_0x" localSheetId="53">'307'!$N$37:$O$37</definedName>
    <definedName name="OSRRefE20_0x" localSheetId="54">'308'!$N$57:$O$57</definedName>
    <definedName name="OSRRefE20_0x" localSheetId="65">'309'!$N$20:$O$20</definedName>
    <definedName name="OSRRefE20_0x" localSheetId="64">'310'!$N$28:$O$28</definedName>
    <definedName name="OSRRefE20_0x" localSheetId="72">'310 &amp; 491'!$N$34:$O$34</definedName>
    <definedName name="OSRRefE20_0x" localSheetId="55">'311'!$N$56:$O$56</definedName>
    <definedName name="OSRRefE20_0x" localSheetId="66">'313'!$N$23:$O$23</definedName>
    <definedName name="OSRRefE20_0x" localSheetId="58">'315'!$N$79:$O$79</definedName>
    <definedName name="OSRRefE20_0x" localSheetId="61">'316'!$N$30:$O$30</definedName>
    <definedName name="OSRRefE20_0x" localSheetId="63">'317'!$N$51:$O$51</definedName>
    <definedName name="OSRRefE20_0x" localSheetId="67">'321'!$N$22:$O$22</definedName>
    <definedName name="OSRRefE20_0x" localSheetId="68">'322'!$N$21:$O$21</definedName>
    <definedName name="OSRRefE20_0x" localSheetId="56">'324'!$N$25:$O$25</definedName>
    <definedName name="OSRRefE20_0x" localSheetId="69">'325'!$N$20:$O$20</definedName>
    <definedName name="OSRRefE20_0x" localSheetId="59">'326'!$N$46:$O$46</definedName>
    <definedName name="OSRRefE20_0x" localSheetId="70">'327'!$N$22:$O$22</definedName>
    <definedName name="OSRRefE20_0x" localSheetId="52">'330'!$N$40:$O$40</definedName>
    <definedName name="OSRRefE20_0x" localSheetId="57">'331'!$N$80:$O$80</definedName>
    <definedName name="OSRRefE20_0x" localSheetId="60">'332'!$N$32:$O$32</definedName>
    <definedName name="OSRRefE20_0x" localSheetId="74">'405'!$N$22:$O$22</definedName>
    <definedName name="OSRRefE20_0x" localSheetId="75">'406'!$N$18:$O$18</definedName>
    <definedName name="OSRRefE20_0x" localSheetId="76">'411'!$N$18:$O$18</definedName>
    <definedName name="OSRRefE20_0x" localSheetId="77">'412'!$N$20:$O$20</definedName>
    <definedName name="OSRRefE20_0x" localSheetId="78">'413'!$N$21:$O$21</definedName>
    <definedName name="OSRRefE20_0x" localSheetId="79">'414'!$N$23:$O$23</definedName>
    <definedName name="OSRRefE20_0x" localSheetId="80">'415'!$N$25:$O$25</definedName>
    <definedName name="OSRRefE20_0x" localSheetId="81">'418'!$N$22:$O$22</definedName>
    <definedName name="OSRRefE20_0x" localSheetId="82">'420'!$N$20:$O$20</definedName>
    <definedName name="OSRRefE20_0x" localSheetId="83">'423'!$N$18:$O$18</definedName>
    <definedName name="OSRRefE20_0x" localSheetId="84">'424'!$N$18:$O$18</definedName>
    <definedName name="OSRRefE20_0x" localSheetId="85">'425'!$N$19:$O$19</definedName>
    <definedName name="OSRRefE20_0x" localSheetId="88">'430'!$N$18:$O$18</definedName>
    <definedName name="OSRRefE20_0x" localSheetId="89">'433'!$N$25:$O$25</definedName>
    <definedName name="OSRRefE20_0x" localSheetId="90">'435'!$N$18:$O$18</definedName>
    <definedName name="OSRRefE20_0x" localSheetId="91">'444'!$N$25:$O$25</definedName>
    <definedName name="OSRRefE20_0x" localSheetId="92">'450'!$N$21:$O$21</definedName>
    <definedName name="OSRRefE20_0x" localSheetId="73">'491'!$N$28:$O$28</definedName>
    <definedName name="OSRRefE20_0x" localSheetId="87">'492'!$N$25:$O$25</definedName>
    <definedName name="OSRRefE20_0x" localSheetId="94">'501'!$N$20:$O$20</definedName>
    <definedName name="OSRRefE20_0x" localSheetId="39">'Div 2'!$N$18:$O$18</definedName>
    <definedName name="OSRRefE20_0x" localSheetId="47">'Div 3'!$N$126:$O$126</definedName>
    <definedName name="OSRRefE20_0x" localSheetId="71">'Div 4'!$N$30:$O$30</definedName>
    <definedName name="OSRRefE20_0x" localSheetId="93">'Div 5'!$N$20:$O$20</definedName>
    <definedName name="OSRRefE20_0x" localSheetId="62">'Div 6'!$N$51:$O$51</definedName>
    <definedName name="OSRRefE20_0x" localSheetId="2">Summary!$N$156:$O$156</definedName>
    <definedName name="OSRRefE20_10x" localSheetId="41">'201'!$N$55:$O$55</definedName>
    <definedName name="OSRRefE20_10x" localSheetId="42">'202'!$N$59:$O$59</definedName>
    <definedName name="OSRRefE20_10x" localSheetId="43">'203'!$N$59:$O$59</definedName>
    <definedName name="OSRRefE20_10x" localSheetId="44">'204'!$N$59:$O$59</definedName>
    <definedName name="OSRRefE20_10x" localSheetId="48">'300'!$N$163:$O$163</definedName>
    <definedName name="OSRRefE20_10x" localSheetId="49">'300 &amp; 317'!$N$187:$O$187</definedName>
    <definedName name="OSRRefE20_10x" localSheetId="50">'301'!$N$59:$O$59</definedName>
    <definedName name="OSRRefE20_10x" localSheetId="53">'307'!$N$77:$O$77</definedName>
    <definedName name="OSRRefE20_10x" localSheetId="54">'308'!$N$100:$O$100</definedName>
    <definedName name="OSRRefE20_10x" localSheetId="65">'309'!$N$59:$O$59</definedName>
    <definedName name="OSRRefE20_10x" localSheetId="64">'310'!$N$66:$O$66</definedName>
    <definedName name="OSRRefE20_10x" localSheetId="72">'310 &amp; 491'!$N$74:$O$74</definedName>
    <definedName name="OSRRefE20_10x" localSheetId="55">'311'!$N$99:$O$99</definedName>
    <definedName name="OSRRefE20_10x" localSheetId="58">'315'!$N$119:$O$119</definedName>
    <definedName name="OSRRefE20_10x" localSheetId="61">'316'!$N$74:$O$74</definedName>
    <definedName name="OSRRefE20_10x" localSheetId="63">'317'!$N$91:$O$91</definedName>
    <definedName name="OSRRefE20_10x" localSheetId="67">'321'!$N$62:$O$62</definedName>
    <definedName name="OSRRefE20_10x" localSheetId="68">'322'!$N$61:$O$61</definedName>
    <definedName name="OSRRefE20_10x" localSheetId="69">'325'!$N$57:$O$57</definedName>
    <definedName name="OSRRefE20_10x" localSheetId="59">'326'!$N$83:$O$83</definedName>
    <definedName name="OSRRefE20_10x" localSheetId="52">'330'!$N$81:$O$81</definedName>
    <definedName name="OSRRefE20_10x" localSheetId="57">'331'!$N$119:$O$119</definedName>
    <definedName name="OSRRefE20_10x" localSheetId="60">'332'!$N$76:$O$76</definedName>
    <definedName name="OSRRefE20_10x" localSheetId="74">'405'!$N$60:$O$60</definedName>
    <definedName name="OSRRefE20_10x" localSheetId="76">'411'!$N$59:$O$59</definedName>
    <definedName name="OSRRefE20_10x" localSheetId="77">'412'!$N$58:$O$58</definedName>
    <definedName name="OSRRefE20_10x" localSheetId="79">'414'!$N$61:$O$61</definedName>
    <definedName name="OSRRefE20_10x" localSheetId="80">'415'!$N$63:$O$63</definedName>
    <definedName name="OSRRefE20_10x" localSheetId="81">'418'!$N$61:$O$61</definedName>
    <definedName name="OSRRefE20_10x" localSheetId="89">'433'!$N$63:$O$63</definedName>
    <definedName name="OSRRefE20_10x" localSheetId="91">'444'!$N$63:$O$63</definedName>
    <definedName name="OSRRefE20_10x" localSheetId="92">'450'!$N$59:$O$59</definedName>
    <definedName name="OSRRefE20_10x" localSheetId="73">'491'!$N$67:$O$67</definedName>
    <definedName name="OSRRefE20_10x" localSheetId="87">'492'!$N$63:$O$63</definedName>
    <definedName name="OSRRefE20_10x" localSheetId="94">'501'!$N$61:$O$61</definedName>
    <definedName name="OSRRefE20_10x" localSheetId="39">'Div 2'!$N$58:$O$58</definedName>
    <definedName name="OSRRefE20_10x" localSheetId="47">'Div 3'!$N$167:$O$167</definedName>
    <definedName name="OSRRefE20_10x" localSheetId="71">'Div 4'!$N$70:$O$70</definedName>
    <definedName name="OSRRefE20_10x" localSheetId="93">'Div 5'!$N$61:$O$61</definedName>
    <definedName name="OSRRefE20_10x" localSheetId="62">'Div 6'!$N$91:$O$91</definedName>
    <definedName name="OSRRefE20_10x" localSheetId="2">Summary!$N$198:$O$198</definedName>
    <definedName name="OSRRefE20_11x" localSheetId="41">'201'!$N$58:$O$58</definedName>
    <definedName name="OSRRefE20_11x" localSheetId="42">'202'!$N$61:$O$61</definedName>
    <definedName name="OSRRefE20_11x" localSheetId="43">'203'!$N$61:$O$61</definedName>
    <definedName name="OSRRefE20_11x" localSheetId="48">'300'!$N$166:$O$166</definedName>
    <definedName name="OSRRefE20_11x" localSheetId="49">'300 &amp; 317'!$N$190:$O$190</definedName>
    <definedName name="OSRRefE20_11x" localSheetId="50">'301'!$N$61:$O$61</definedName>
    <definedName name="OSRRefE20_11x" localSheetId="53">'307'!$N$81:$O$81</definedName>
    <definedName name="OSRRefE20_11x" localSheetId="54">'308'!$N$103:$O$103</definedName>
    <definedName name="OSRRefE20_11x" localSheetId="64">'310'!$N$68:$O$68</definedName>
    <definedName name="OSRRefE20_11x" localSheetId="72">'310 &amp; 491'!$N$76:$O$76</definedName>
    <definedName name="OSRRefE20_11x" localSheetId="55">'311'!$N$102:$O$102</definedName>
    <definedName name="OSRRefE20_11x" localSheetId="58">'315'!$N$121:$O$121</definedName>
    <definedName name="OSRRefE20_11x" localSheetId="61">'316'!$N$76:$O$76</definedName>
    <definedName name="OSRRefE20_11x" localSheetId="63">'317'!$N$93:$O$93</definedName>
    <definedName name="OSRRefE20_11x" localSheetId="67">'321'!$N$65:$O$65</definedName>
    <definedName name="OSRRefE20_11x" localSheetId="69">'325'!$N$60:$O$60</definedName>
    <definedName name="OSRRefE20_11x" localSheetId="59">'326'!$N$85:$O$85</definedName>
    <definedName name="OSRRefE20_11x" localSheetId="52">'330'!$N$85:$O$85</definedName>
    <definedName name="OSRRefE20_11x" localSheetId="57">'331'!$N$122:$O$122</definedName>
    <definedName name="OSRRefE20_11x" localSheetId="60">'332'!$N$78:$O$78</definedName>
    <definedName name="OSRRefE20_11x" localSheetId="74">'405'!$N$62:$O$62</definedName>
    <definedName name="OSRRefE20_11x" localSheetId="76">'411'!$N$64:$O$64</definedName>
    <definedName name="OSRRefE20_11x" localSheetId="77">'412'!$N$63:$O$63</definedName>
    <definedName name="OSRRefE20_11x" localSheetId="79">'414'!$N$63:$O$63</definedName>
    <definedName name="OSRRefE20_11x" localSheetId="80">'415'!$N$65:$O$65</definedName>
    <definedName name="OSRRefE20_11x" localSheetId="81">'418'!$N$63:$O$63</definedName>
    <definedName name="OSRRefE20_11x" localSheetId="89">'433'!$N$65:$O$65</definedName>
    <definedName name="OSRRefE20_11x" localSheetId="91">'444'!$N$65:$O$65</definedName>
    <definedName name="OSRRefE20_11x" localSheetId="92">'450'!$N$61:$O$61</definedName>
    <definedName name="OSRRefE20_11x" localSheetId="73">'491'!$N$69:$O$69</definedName>
    <definedName name="OSRRefE20_11x" localSheetId="87">'492'!$N$65:$O$65</definedName>
    <definedName name="OSRRefE20_11x" localSheetId="94">'501'!$N$64:$O$64</definedName>
    <definedName name="OSRRefE20_11x" localSheetId="39">'Div 2'!$N$60:$O$60</definedName>
    <definedName name="OSRRefE20_11x" localSheetId="47">'Div 3'!$N$170:$O$170</definedName>
    <definedName name="OSRRefE20_11x" localSheetId="71">'Div 4'!$N$72:$O$72</definedName>
    <definedName name="OSRRefE20_11x" localSheetId="93">'Div 5'!$N$64:$O$64</definedName>
    <definedName name="OSRRefE20_11x" localSheetId="62">'Div 6'!$N$93:$O$93</definedName>
    <definedName name="OSRRefE20_11x" localSheetId="2">Summary!$N$201:$O$201</definedName>
    <definedName name="OSRRefE20_12x" localSheetId="41">'201'!$N$61:$O$61</definedName>
    <definedName name="OSRRefE20_12x" localSheetId="42">'202'!$N$63:$O$63</definedName>
    <definedName name="OSRRefE20_12x" localSheetId="43">'203'!$N$65:$O$65</definedName>
    <definedName name="OSRRefE20_12x" localSheetId="48">'300'!$N$169:$O$169</definedName>
    <definedName name="OSRRefE20_12x" localSheetId="49">'300 &amp; 317'!$N$193:$O$193</definedName>
    <definedName name="OSRRefE20_12x" localSheetId="50">'301'!$N$63:$O$63</definedName>
    <definedName name="OSRRefE20_12x" localSheetId="53">'307'!$N$84:$O$84</definedName>
    <definedName name="OSRRefE20_12x" localSheetId="54">'308'!$N$107:$O$107</definedName>
    <definedName name="OSRRefE20_12x" localSheetId="64">'310'!$N$70:$O$70</definedName>
    <definedName name="OSRRefE20_12x" localSheetId="72">'310 &amp; 491'!$N$78:$O$78</definedName>
    <definedName name="OSRRefE20_12x" localSheetId="55">'311'!$N$106:$O$106</definedName>
    <definedName name="OSRRefE20_12x" localSheetId="58">'315'!$N$123:$O$123</definedName>
    <definedName name="OSRRefE20_12x" localSheetId="63">'317'!$N$98:$O$98</definedName>
    <definedName name="OSRRefE20_12x" localSheetId="69">'325'!$N$63:$O$63</definedName>
    <definedName name="OSRRefE20_12x" localSheetId="59">'326'!$N$87:$O$87</definedName>
    <definedName name="OSRRefE20_12x" localSheetId="52">'330'!$N$88:$O$88</definedName>
    <definedName name="OSRRefE20_12x" localSheetId="57">'331'!$N$124:$O$124</definedName>
    <definedName name="OSRRefE20_12x" localSheetId="74">'405'!$N$67:$O$67</definedName>
    <definedName name="OSRRefE20_12x" localSheetId="76">'411'!$N$66:$O$66</definedName>
    <definedName name="OSRRefE20_12x" localSheetId="77">'412'!$N$68:$O$68</definedName>
    <definedName name="OSRRefE20_12x" localSheetId="79">'414'!$N$65:$O$65</definedName>
    <definedName name="OSRRefE20_12x" localSheetId="80">'415'!$N$68:$O$68</definedName>
    <definedName name="OSRRefE20_12x" localSheetId="81">'418'!$N$70:$O$70</definedName>
    <definedName name="OSRRefE20_12x" localSheetId="89">'433'!$N$68:$O$68</definedName>
    <definedName name="OSRRefE20_12x" localSheetId="91">'444'!$N$68:$O$68</definedName>
    <definedName name="OSRRefE20_12x" localSheetId="92">'450'!$N$63:$O$63</definedName>
    <definedName name="OSRRefE20_12x" localSheetId="73">'491'!$N$71:$O$71</definedName>
    <definedName name="OSRRefE20_12x" localSheetId="87">'492'!$N$67:$O$67</definedName>
    <definedName name="OSRRefE20_12x" localSheetId="39">'Div 2'!$N$62:$O$62</definedName>
    <definedName name="OSRRefE20_12x" localSheetId="47">'Div 3'!$N$173:$O$173</definedName>
    <definedName name="OSRRefE20_12x" localSheetId="71">'Div 4'!$N$74:$O$74</definedName>
    <definedName name="OSRRefE20_12x" localSheetId="62">'Div 6'!$N$98:$O$98</definedName>
    <definedName name="OSRRefE20_12x" localSheetId="2">Summary!$N$204:$O$204</definedName>
    <definedName name="OSRRefE20_13x" localSheetId="41">'201'!$N$63:$O$63</definedName>
    <definedName name="OSRRefE20_13x" localSheetId="43">'203'!$N$67:$O$67</definedName>
    <definedName name="OSRRefE20_13x" localSheetId="48">'300'!$N$171:$O$171</definedName>
    <definedName name="OSRRefE20_13x" localSheetId="49">'300 &amp; 317'!$N$195:$O$195</definedName>
    <definedName name="OSRRefE20_13x" localSheetId="50">'301'!$N$65:$O$65</definedName>
    <definedName name="OSRRefE20_13x" localSheetId="54">'308'!$N$110:$O$110</definedName>
    <definedName name="OSRRefE20_13x" localSheetId="64">'310'!$N$73:$O$73</definedName>
    <definedName name="OSRRefE20_13x" localSheetId="72">'310 &amp; 491'!$N$80:$O$80</definedName>
    <definedName name="OSRRefE20_13x" localSheetId="55">'311'!$N$109:$O$109</definedName>
    <definedName name="OSRRefE20_13x" localSheetId="58">'315'!$N$127:$O$127</definedName>
    <definedName name="OSRRefE20_13x" localSheetId="63">'317'!$N$100:$O$100</definedName>
    <definedName name="OSRRefE20_13x" localSheetId="69">'325'!$N$69:$O$69</definedName>
    <definedName name="OSRRefE20_13x" localSheetId="59">'326'!$N$91:$O$91</definedName>
    <definedName name="OSRRefE20_13x" localSheetId="57">'331'!$N$126:$O$126</definedName>
    <definedName name="OSRRefE20_13x" localSheetId="74">'405'!$N$69:$O$69</definedName>
    <definedName name="OSRRefE20_13x" localSheetId="76">'411'!$N$73:$O$73</definedName>
    <definedName name="OSRRefE20_13x" localSheetId="77">'412'!$N$71:$O$71</definedName>
    <definedName name="OSRRefE20_13x" localSheetId="79">'414'!$N$69:$O$69</definedName>
    <definedName name="OSRRefE20_13x" localSheetId="80">'415'!$N$73:$O$73</definedName>
    <definedName name="OSRRefE20_13x" localSheetId="81">'418'!$N$73:$O$73</definedName>
    <definedName name="OSRRefE20_13x" localSheetId="89">'433'!$N$73:$O$73</definedName>
    <definedName name="OSRRefE20_13x" localSheetId="91">'444'!$N$73:$O$73</definedName>
    <definedName name="OSRRefE20_13x" localSheetId="92">'450'!$N$65:$O$65</definedName>
    <definedName name="OSRRefE20_13x" localSheetId="73">'491'!$N$73:$O$73</definedName>
    <definedName name="OSRRefE20_13x" localSheetId="87">'492'!$N$71:$O$71</definedName>
    <definedName name="OSRRefE20_13x" localSheetId="39">'Div 2'!$N$67:$O$67</definedName>
    <definedName name="OSRRefE20_13x" localSheetId="47">'Div 3'!$N$175:$O$175</definedName>
    <definedName name="OSRRefE20_13x" localSheetId="71">'Div 4'!$N$76:$O$76</definedName>
    <definedName name="OSRRefE20_13x" localSheetId="62">'Div 6'!$N$100:$O$100</definedName>
    <definedName name="OSRRefE20_13x" localSheetId="2">Summary!$N$206:$O$206</definedName>
    <definedName name="OSRRefE20_14x" localSheetId="41">'201'!$N$67:$O$67</definedName>
    <definedName name="OSRRefE20_14x" localSheetId="43">'203'!$N$69:$O$69</definedName>
    <definedName name="OSRRefE20_14x" localSheetId="48">'300'!$N$174:$O$174</definedName>
    <definedName name="OSRRefE20_14x" localSheetId="49">'300 &amp; 317'!$N$198:$O$198</definedName>
    <definedName name="OSRRefE20_14x" localSheetId="50">'301'!$N$67:$O$67</definedName>
    <definedName name="OSRRefE20_14x" localSheetId="64">'310'!$N$75:$O$75</definedName>
    <definedName name="OSRRefE20_14x" localSheetId="72">'310 &amp; 491'!$N$82:$O$82</definedName>
    <definedName name="OSRRefE20_14x" localSheetId="58">'315'!$N$130:$O$130</definedName>
    <definedName name="OSRRefE20_14x" localSheetId="69">'325'!$N$72:$O$72</definedName>
    <definedName name="OSRRefE20_14x" localSheetId="59">'326'!$N$95:$O$95</definedName>
    <definedName name="OSRRefE20_14x" localSheetId="57">'331'!$N$130:$O$130</definedName>
    <definedName name="OSRRefE20_14x" localSheetId="74">'405'!$N$78:$O$78</definedName>
    <definedName name="OSRRefE20_14x" localSheetId="76">'411'!$N$75:$O$75</definedName>
    <definedName name="OSRRefE20_14x" localSheetId="80">'415'!$N$75:$O$75</definedName>
    <definedName name="OSRRefE20_14x" localSheetId="89">'433'!$N$81:$O$81</definedName>
    <definedName name="OSRRefE20_14x" localSheetId="91">'444'!$N$75:$O$75</definedName>
    <definedName name="OSRRefE20_14x" localSheetId="92">'450'!$N$69:$O$69</definedName>
    <definedName name="OSRRefE20_14x" localSheetId="73">'491'!$N$75:$O$75</definedName>
    <definedName name="OSRRefE20_14x" localSheetId="87">'492'!$N$76:$O$76</definedName>
    <definedName name="OSRRefE20_14x" localSheetId="39">'Div 2'!$N$72:$O$72</definedName>
    <definedName name="OSRRefE20_14x" localSheetId="47">'Div 3'!$N$177:$O$177</definedName>
    <definedName name="OSRRefE20_14x" localSheetId="71">'Div 4'!$N$78:$O$78</definedName>
    <definedName name="OSRRefE20_14x" localSheetId="2">Summary!$N$208:$O$208</definedName>
    <definedName name="OSRRefE20_15x" localSheetId="41">'201'!$N$69:$O$69</definedName>
    <definedName name="OSRRefE20_15x" localSheetId="48">'300'!$N$176:$O$176</definedName>
    <definedName name="OSRRefE20_15x" localSheetId="49">'300 &amp; 317'!$N$200:$O$200</definedName>
    <definedName name="OSRRefE20_15x" localSheetId="50">'301'!$N$69:$O$69</definedName>
    <definedName name="OSRRefE20_15x" localSheetId="64">'310'!$N$79:$O$79</definedName>
    <definedName name="OSRRefE20_15x" localSheetId="72">'310 &amp; 491'!$N$87:$O$87</definedName>
    <definedName name="OSRRefE20_15x" localSheetId="58">'315'!$N$138:$O$138</definedName>
    <definedName name="OSRRefE20_15x" localSheetId="59">'326'!$N$98:$O$98</definedName>
    <definedName name="OSRRefE20_15x" localSheetId="57">'331'!$N$134:$O$134</definedName>
    <definedName name="OSRRefE20_15x" localSheetId="74">'405'!$N$80:$O$80</definedName>
    <definedName name="OSRRefE20_15x" localSheetId="76">'411'!$N$77:$O$77</definedName>
    <definedName name="OSRRefE20_15x" localSheetId="80">'415'!$N$82:$O$82</definedName>
    <definedName name="OSRRefE20_15x" localSheetId="89">'433'!$N$83:$O$83</definedName>
    <definedName name="OSRRefE20_15x" localSheetId="91">'444'!$N$84:$O$84</definedName>
    <definedName name="OSRRefE20_15x" localSheetId="92">'450'!$N$75:$O$75</definedName>
    <definedName name="OSRRefE20_15x" localSheetId="73">'491'!$N$80:$O$80</definedName>
    <definedName name="OSRRefE20_15x" localSheetId="87">'492'!$N$78:$O$78</definedName>
    <definedName name="OSRRefE20_15x" localSheetId="39">'Div 2'!$N$75:$O$75</definedName>
    <definedName name="OSRRefE20_15x" localSheetId="47">'Div 3'!$N$180:$O$180</definedName>
    <definedName name="OSRRefE20_15x" localSheetId="71">'Div 4'!$N$80:$O$80</definedName>
    <definedName name="OSRRefE20_15x" localSheetId="2">Summary!$N$211:$O$211</definedName>
    <definedName name="OSRRefE20_16x" localSheetId="48">'300'!$N$178:$O$178</definedName>
    <definedName name="OSRRefE20_16x" localSheetId="49">'300 &amp; 317'!$N$202:$O$202</definedName>
    <definedName name="OSRRefE20_16x" localSheetId="50">'301'!$N$74:$O$74</definedName>
    <definedName name="OSRRefE20_16x" localSheetId="64">'310'!$N$86:$O$86</definedName>
    <definedName name="OSRRefE20_16x" localSheetId="72">'310 &amp; 491'!$N$90:$O$90</definedName>
    <definedName name="OSRRefE20_16x" localSheetId="58">'315'!$N$140:$O$140</definedName>
    <definedName name="OSRRefE20_16x" localSheetId="59">'326'!$N$105:$O$105</definedName>
    <definedName name="OSRRefE20_16x" localSheetId="57">'331'!$N$138:$O$138</definedName>
    <definedName name="OSRRefE20_16x" localSheetId="80">'415'!$N$85:$O$85</definedName>
    <definedName name="OSRRefE20_16x" localSheetId="91">'444'!$N$87:$O$87</definedName>
    <definedName name="OSRRefE20_16x" localSheetId="92">'450'!$N$78:$O$78</definedName>
    <definedName name="OSRRefE20_16x" localSheetId="73">'491'!$N$83:$O$83</definedName>
    <definedName name="OSRRefE20_16x" localSheetId="87">'492'!$N$89:$O$89</definedName>
    <definedName name="OSRRefE20_16x" localSheetId="39">'Div 2'!$N$78:$O$78</definedName>
    <definedName name="OSRRefE20_16x" localSheetId="47">'Div 3'!$N$182:$O$182</definedName>
    <definedName name="OSRRefE20_16x" localSheetId="71">'Div 4'!$N$85:$O$85</definedName>
    <definedName name="OSRRefE20_16x" localSheetId="2">Summary!$N$213:$O$213</definedName>
    <definedName name="OSRRefE20_17x" localSheetId="48">'300'!$N$183:$O$183</definedName>
    <definedName name="OSRRefE20_17x" localSheetId="49">'300 &amp; 317'!$N$207:$O$207</definedName>
    <definedName name="OSRRefE20_17x" localSheetId="50">'301'!$N$78:$O$78</definedName>
    <definedName name="OSRRefE20_17x" localSheetId="64">'310'!$N$89:$O$89</definedName>
    <definedName name="OSRRefE20_17x" localSheetId="72">'310 &amp; 491'!$N$96:$O$96</definedName>
    <definedName name="OSRRefE20_17x" localSheetId="59">'326'!$N$108:$O$108</definedName>
    <definedName name="OSRRefE20_17x" localSheetId="57">'331'!$N$141:$O$141</definedName>
    <definedName name="OSRRefE20_17x" localSheetId="80">'415'!$N$87:$O$87</definedName>
    <definedName name="OSRRefE20_17x" localSheetId="91">'444'!$N$89:$O$89</definedName>
    <definedName name="OSRRefE20_17x" localSheetId="73">'491'!$N$89:$O$89</definedName>
    <definedName name="OSRRefE20_17x" localSheetId="87">'492'!$N$92:$O$92</definedName>
    <definedName name="OSRRefE20_17x" localSheetId="39">'Div 2'!$N$83:$O$83</definedName>
    <definedName name="OSRRefE20_17x" localSheetId="47">'Div 3'!$N$184:$O$184</definedName>
    <definedName name="OSRRefE20_17x" localSheetId="71">'Div 4'!$N$88:$O$88</definedName>
    <definedName name="OSRRefE20_17x" localSheetId="2">Summary!$N$215:$O$215</definedName>
    <definedName name="OSRRefE20_18x" localSheetId="48">'300'!$N$188:$O$188</definedName>
    <definedName name="OSRRefE20_18x" localSheetId="49">'300 &amp; 317'!$N$212:$O$212</definedName>
    <definedName name="OSRRefE20_18x" localSheetId="50">'301'!$N$80:$O$80</definedName>
    <definedName name="OSRRefE20_18x" localSheetId="72">'310 &amp; 491'!$N$98:$O$98</definedName>
    <definedName name="OSRRefE20_18x" localSheetId="59">'326'!$N$110:$O$110</definedName>
    <definedName name="OSRRefE20_18x" localSheetId="57">'331'!$N$150:$O$150</definedName>
    <definedName name="OSRRefE20_18x" localSheetId="73">'491'!$N$91:$O$91</definedName>
    <definedName name="OSRRefE20_18x" localSheetId="87">'492'!$N$94:$O$94</definedName>
    <definedName name="OSRRefE20_18x" localSheetId="39">'Div 2'!$N$86:$O$86</definedName>
    <definedName name="OSRRefE20_18x" localSheetId="47">'Div 3'!$N$189:$O$189</definedName>
    <definedName name="OSRRefE20_18x" localSheetId="71">'Div 4'!$N$94:$O$94</definedName>
    <definedName name="OSRRefE20_18x" localSheetId="2">Summary!$N$217:$O$217</definedName>
    <definedName name="OSRRefE20_19x" localSheetId="48">'300'!$N$193:$O$193</definedName>
    <definedName name="OSRRefE20_19x" localSheetId="49">'300 &amp; 317'!$N$217:$O$217</definedName>
    <definedName name="OSRRefE20_19x" localSheetId="50">'301'!$N$88:$O$88</definedName>
    <definedName name="OSRRefE20_19x" localSheetId="72">'310 &amp; 491'!$N$109:$O$109</definedName>
    <definedName name="OSRRefE20_19x" localSheetId="59">'326'!$N$113:$O$113</definedName>
    <definedName name="OSRRefE20_19x" localSheetId="57">'331'!$N$153:$O$153</definedName>
    <definedName name="OSRRefE20_19x" localSheetId="73">'491'!$N$102:$O$102</definedName>
    <definedName name="OSRRefE20_19x" localSheetId="39">'Div 2'!$N$88:$O$88</definedName>
    <definedName name="OSRRefE20_19x" localSheetId="47">'Div 3'!$N$194:$O$194</definedName>
    <definedName name="OSRRefE20_19x" localSheetId="71">'Div 4'!$N$97:$O$97</definedName>
    <definedName name="OSRRefE20_19x" localSheetId="2">Summary!$N$222:$O$222</definedName>
    <definedName name="OSRRefE20_1x" localSheetId="40">'200'!$N$20:$O$20</definedName>
    <definedName name="OSRRefE20_1x" localSheetId="41">'201'!$N$28:$O$28</definedName>
    <definedName name="OSRRefE20_1x" localSheetId="42">'202'!$N$28:$O$28</definedName>
    <definedName name="OSRRefE20_1x" localSheetId="43">'203'!$N$29:$O$29</definedName>
    <definedName name="OSRRefE20_1x" localSheetId="44">'204'!$N$29:$O$29</definedName>
    <definedName name="OSRRefE20_1x" localSheetId="45">'205'!$N$28:$O$28</definedName>
    <definedName name="OSRRefE20_1x" localSheetId="46">'206'!$N$28:$O$28</definedName>
    <definedName name="OSRRefE20_1x" localSheetId="48">'300'!$N$133:$O$133</definedName>
    <definedName name="OSRRefE20_1x" localSheetId="49">'300 &amp; 317'!$N$157:$O$157</definedName>
    <definedName name="OSRRefE20_1x" localSheetId="50">'301'!$N$30:$O$30</definedName>
    <definedName name="OSRRefE20_1x" localSheetId="51">'306'!$N$28:$O$28</definedName>
    <definedName name="OSRRefE20_1x" localSheetId="53">'307'!$N$46:$O$46</definedName>
    <definedName name="OSRRefE20_1x" localSheetId="54">'308'!$N$68:$O$68</definedName>
    <definedName name="OSRRefE20_1x" localSheetId="65">'309'!$N$29:$O$29</definedName>
    <definedName name="OSRRefE20_1x" localSheetId="64">'310'!$N$38:$O$38</definedName>
    <definedName name="OSRRefE20_1x" localSheetId="72">'310 &amp; 491'!$N$44:$O$44</definedName>
    <definedName name="OSRRefE20_1x" localSheetId="55">'311'!$N$67:$O$67</definedName>
    <definedName name="OSRRefE20_1x" localSheetId="66">'313'!$N$33:$O$33</definedName>
    <definedName name="OSRRefE20_1x" localSheetId="58">'315'!$N$89:$O$89</definedName>
    <definedName name="OSRRefE20_1x" localSheetId="61">'316'!$N$40:$O$40</definedName>
    <definedName name="OSRRefE20_1x" localSheetId="63">'317'!$N$62:$O$62</definedName>
    <definedName name="OSRRefE20_1x" localSheetId="67">'321'!$N$32:$O$32</definedName>
    <definedName name="OSRRefE20_1x" localSheetId="68">'322'!$N$30:$O$30</definedName>
    <definedName name="OSRRefE20_1x" localSheetId="56">'324'!$N$34:$O$34</definedName>
    <definedName name="OSRRefE20_1x" localSheetId="69">'325'!$N$29:$O$29</definedName>
    <definedName name="OSRRefE20_1x" localSheetId="59">'326'!$N$56:$O$56</definedName>
    <definedName name="OSRRefE20_1x" localSheetId="70">'327'!$N$24:$O$24</definedName>
    <definedName name="OSRRefE20_1x" localSheetId="52">'330'!$N$50:$O$50</definedName>
    <definedName name="OSRRefE20_1x" localSheetId="57">'331'!$N$90:$O$90</definedName>
    <definedName name="OSRRefE20_1x" localSheetId="60">'332'!$N$42:$O$42</definedName>
    <definedName name="OSRRefE20_1x" localSheetId="74">'405'!$N$31:$O$31</definedName>
    <definedName name="OSRRefE20_1x" localSheetId="75">'406'!$N$20:$O$20</definedName>
    <definedName name="OSRRefE20_1x" localSheetId="76">'411'!$N$28:$O$28</definedName>
    <definedName name="OSRRefE20_1x" localSheetId="77">'412'!$N$29:$O$29</definedName>
    <definedName name="OSRRefE20_1x" localSheetId="78">'413'!$N$31:$O$31</definedName>
    <definedName name="OSRRefE20_1x" localSheetId="79">'414'!$N$33:$O$33</definedName>
    <definedName name="OSRRefE20_1x" localSheetId="80">'415'!$N$35:$O$35</definedName>
    <definedName name="OSRRefE20_1x" localSheetId="81">'418'!$N$31:$O$31</definedName>
    <definedName name="OSRRefE20_1x" localSheetId="82">'420'!$N$22:$O$22</definedName>
    <definedName name="OSRRefE20_1x" localSheetId="83">'423'!$N$27:$O$27</definedName>
    <definedName name="OSRRefE20_1x" localSheetId="84">'424'!$N$20:$O$20</definedName>
    <definedName name="OSRRefE20_1x" localSheetId="85">'425'!$N$25:$O$25</definedName>
    <definedName name="OSRRefE20_1x" localSheetId="88">'430'!$N$28:$O$28</definedName>
    <definedName name="OSRRefE20_1x" localSheetId="89">'433'!$N$36:$O$36</definedName>
    <definedName name="OSRRefE20_1x" localSheetId="91">'444'!$N$36:$O$36</definedName>
    <definedName name="OSRRefE20_1x" localSheetId="92">'450'!$N$32:$O$32</definedName>
    <definedName name="OSRRefE20_1x" localSheetId="73">'491'!$N$38:$O$38</definedName>
    <definedName name="OSRRefE20_1x" localSheetId="87">'492'!$N$36:$O$36</definedName>
    <definedName name="OSRRefE20_1x" localSheetId="94">'501'!$N$31:$O$31</definedName>
    <definedName name="OSRRefE20_1x" localSheetId="39">'Div 2'!$N$30:$O$30</definedName>
    <definedName name="OSRRefE20_1x" localSheetId="47">'Div 3'!$N$137:$O$137</definedName>
    <definedName name="OSRRefE20_1x" localSheetId="71">'Div 4'!$N$41:$O$41</definedName>
    <definedName name="OSRRefE20_1x" localSheetId="93">'Div 5'!$N$31:$O$31</definedName>
    <definedName name="OSRRefE20_1x" localSheetId="62">'Div 6'!$N$62:$O$62</definedName>
    <definedName name="OSRRefE20_1x" localSheetId="2">Summary!$N$167:$O$167</definedName>
    <definedName name="OSRRefE20_20x" localSheetId="48">'300'!$N$196:$O$196</definedName>
    <definedName name="OSRRefE20_20x" localSheetId="49">'300 &amp; 317'!$N$220:$O$220</definedName>
    <definedName name="OSRRefE20_20x" localSheetId="50">'301'!$N$90:$O$90</definedName>
    <definedName name="OSRRefE20_20x" localSheetId="72">'310 &amp; 491'!$N$112:$O$112</definedName>
    <definedName name="OSRRefE20_20x" localSheetId="57">'331'!$N$155:$O$155</definedName>
    <definedName name="OSRRefE20_20x" localSheetId="73">'491'!$N$105:$O$105</definedName>
    <definedName name="OSRRefE20_20x" localSheetId="47">'Div 3'!$N$199:$O$199</definedName>
    <definedName name="OSRRefE20_20x" localSheetId="71">'Div 4'!$N$109:$O$109</definedName>
    <definedName name="OSRRefE20_20x" localSheetId="2">Summary!$N$227:$O$227</definedName>
    <definedName name="OSRRefE20_21x" localSheetId="48">'300'!$N$206:$O$206</definedName>
    <definedName name="OSRRefE20_21x" localSheetId="49">'300 &amp; 317'!$N$230:$O$230</definedName>
    <definedName name="OSRRefE20_21x" localSheetId="50">'301'!$N$92:$O$92</definedName>
    <definedName name="OSRRefE20_21x" localSheetId="72">'310 &amp; 491'!$N$114:$O$114</definedName>
    <definedName name="OSRRefE20_21x" localSheetId="57">'331'!$N$158:$O$158</definedName>
    <definedName name="OSRRefE20_21x" localSheetId="73">'491'!$N$107:$O$107</definedName>
    <definedName name="OSRRefE20_21x" localSheetId="47">'Div 3'!$N$202:$O$202</definedName>
    <definedName name="OSRRefE20_21x" localSheetId="71">'Div 4'!$N$112:$O$112</definedName>
    <definedName name="OSRRefE20_21x" localSheetId="2">Summary!$N$233:$O$233</definedName>
    <definedName name="OSRRefE20_22x" localSheetId="48">'300'!$N$209:$O$209</definedName>
    <definedName name="OSRRefE20_22x" localSheetId="49">'300 &amp; 317'!$N$233:$O$233</definedName>
    <definedName name="OSRRefE20_22x" localSheetId="50">'301'!$N$95:$O$95</definedName>
    <definedName name="OSRRefE20_22x" localSheetId="72">'310 &amp; 491'!$N$116:$O$116</definedName>
    <definedName name="OSRRefE20_22x" localSheetId="73">'491'!$N$109:$O$109</definedName>
    <definedName name="OSRRefE20_22x" localSheetId="47">'Div 3'!$N$212:$O$212</definedName>
    <definedName name="OSRRefE20_22x" localSheetId="71">'Div 4'!$N$114:$O$114</definedName>
    <definedName name="OSRRefE20_22x" localSheetId="2">Summary!$N$236:$O$236</definedName>
    <definedName name="OSRRefE20_23x" localSheetId="48">'300'!$N$211:$O$211</definedName>
    <definedName name="OSRRefE20_23x" localSheetId="49">'300 &amp; 317'!$N$235:$O$235</definedName>
    <definedName name="OSRRefE20_23x" localSheetId="47">'Div 3'!$N$215:$O$215</definedName>
    <definedName name="OSRRefE20_23x" localSheetId="71">'Div 4'!$N$118:$O$118</definedName>
    <definedName name="OSRRefE20_23x" localSheetId="2">Summary!$N$248:$O$248</definedName>
    <definedName name="OSRRefE20_24x" localSheetId="48">'300'!$N$215:$O$215</definedName>
    <definedName name="OSRRefE20_24x" localSheetId="49">'300 &amp; 317'!$N$239:$O$239</definedName>
    <definedName name="OSRRefE20_24x" localSheetId="47">'Div 3'!$N$217:$O$217</definedName>
    <definedName name="OSRRefE20_24x" localSheetId="2">Summary!$N$251:$O$251</definedName>
    <definedName name="OSRRefE20_25x" localSheetId="47">'Div 3'!$N$221:$O$221</definedName>
    <definedName name="OSRRefE20_25x" localSheetId="2">Summary!$N$253:$O$253</definedName>
    <definedName name="OSRRefE20_26x" localSheetId="2">Summary!$N$257:$O$257</definedName>
    <definedName name="OSRRefE20_2x" localSheetId="40">'200'!$N$22:$O$22</definedName>
    <definedName name="OSRRefE20_2x" localSheetId="41">'201'!$N$39:$O$39</definedName>
    <definedName name="OSRRefE20_2x" localSheetId="42">'202'!$N$39:$O$39</definedName>
    <definedName name="OSRRefE20_2x" localSheetId="43">'203'!$N$40:$O$40</definedName>
    <definedName name="OSRRefE20_2x" localSheetId="44">'204'!$N$40:$O$40</definedName>
    <definedName name="OSRRefE20_2x" localSheetId="45">'205'!$N$39:$O$39</definedName>
    <definedName name="OSRRefE20_2x" localSheetId="46">'206'!$N$39:$O$39</definedName>
    <definedName name="OSRRefE20_2x" localSheetId="48">'300'!$N$144:$O$144</definedName>
    <definedName name="OSRRefE20_2x" localSheetId="49">'300 &amp; 317'!$N$168:$O$168</definedName>
    <definedName name="OSRRefE20_2x" localSheetId="50">'301'!$N$41:$O$41</definedName>
    <definedName name="OSRRefE20_2x" localSheetId="51">'306'!$N$39:$O$39</definedName>
    <definedName name="OSRRefE20_2x" localSheetId="53">'307'!$N$57:$O$57</definedName>
    <definedName name="OSRRefE20_2x" localSheetId="54">'308'!$N$79:$O$79</definedName>
    <definedName name="OSRRefE20_2x" localSheetId="65">'309'!$N$40:$O$40</definedName>
    <definedName name="OSRRefE20_2x" localSheetId="64">'310'!$N$49:$O$49</definedName>
    <definedName name="OSRRefE20_2x" localSheetId="72">'310 &amp; 491'!$N$55:$O$55</definedName>
    <definedName name="OSRRefE20_2x" localSheetId="55">'311'!$N$78:$O$78</definedName>
    <definedName name="OSRRefE20_2x" localSheetId="66">'313'!$N$44:$O$44</definedName>
    <definedName name="OSRRefE20_2x" localSheetId="58">'315'!$N$100:$O$100</definedName>
    <definedName name="OSRRefE20_2x" localSheetId="61">'316'!$N$51:$O$51</definedName>
    <definedName name="OSRRefE20_2x" localSheetId="63">'317'!$N$73:$O$73</definedName>
    <definedName name="OSRRefE20_2x" localSheetId="67">'321'!$N$43:$O$43</definedName>
    <definedName name="OSRRefE20_2x" localSheetId="68">'322'!$N$41:$O$41</definedName>
    <definedName name="OSRRefE20_2x" localSheetId="69">'325'!$N$40:$O$40</definedName>
    <definedName name="OSRRefE20_2x" localSheetId="59">'326'!$N$67:$O$67</definedName>
    <definedName name="OSRRefE20_2x" localSheetId="52">'330'!$N$61:$O$61</definedName>
    <definedName name="OSRRefE20_2x" localSheetId="57">'331'!$N$101:$O$101</definedName>
    <definedName name="OSRRefE20_2x" localSheetId="60">'332'!$N$53:$O$53</definedName>
    <definedName name="OSRRefE20_2x" localSheetId="74">'405'!$N$42:$O$42</definedName>
    <definedName name="OSRRefE20_2x" localSheetId="75">'406'!$N$22:$O$22</definedName>
    <definedName name="OSRRefE20_2x" localSheetId="76">'411'!$N$39:$O$39</definedName>
    <definedName name="OSRRefE20_2x" localSheetId="77">'412'!$N$40:$O$40</definedName>
    <definedName name="OSRRefE20_2x" localSheetId="78">'413'!$N$42:$O$42</definedName>
    <definedName name="OSRRefE20_2x" localSheetId="79">'414'!$N$44:$O$44</definedName>
    <definedName name="OSRRefE20_2x" localSheetId="80">'415'!$N$46:$O$46</definedName>
    <definedName name="OSRRefE20_2x" localSheetId="81">'418'!$N$42:$O$42</definedName>
    <definedName name="OSRRefE20_2x" localSheetId="83">'423'!$N$38:$O$38</definedName>
    <definedName name="OSRRefE20_2x" localSheetId="84">'424'!$N$22:$O$22</definedName>
    <definedName name="OSRRefE20_2x" localSheetId="85">'425'!$N$27:$O$27</definedName>
    <definedName name="OSRRefE20_2x" localSheetId="88">'430'!$N$39:$O$39</definedName>
    <definedName name="OSRRefE20_2x" localSheetId="89">'433'!$N$47:$O$47</definedName>
    <definedName name="OSRRefE20_2x" localSheetId="91">'444'!$N$47:$O$47</definedName>
    <definedName name="OSRRefE20_2x" localSheetId="92">'450'!$N$43:$O$43</definedName>
    <definedName name="OSRRefE20_2x" localSheetId="73">'491'!$N$49:$O$49</definedName>
    <definedName name="OSRRefE20_2x" localSheetId="87">'492'!$N$47:$O$47</definedName>
    <definedName name="OSRRefE20_2x" localSheetId="94">'501'!$N$42:$O$42</definedName>
    <definedName name="OSRRefE20_2x" localSheetId="39">'Div 2'!$N$41:$O$41</definedName>
    <definedName name="OSRRefE20_2x" localSheetId="47">'Div 3'!$N$148:$O$148</definedName>
    <definedName name="OSRRefE20_2x" localSheetId="71">'Div 4'!$N$52:$O$52</definedName>
    <definedName name="OSRRefE20_2x" localSheetId="93">'Div 5'!$N$42:$O$42</definedName>
    <definedName name="OSRRefE20_2x" localSheetId="62">'Div 6'!$N$73:$O$73</definedName>
    <definedName name="OSRRefE20_2x" localSheetId="2">Summary!$N$178:$O$178</definedName>
    <definedName name="OSRRefE20_3x" localSheetId="40">'200'!$N$24:$O$24</definedName>
    <definedName name="OSRRefE20_3x" localSheetId="41">'201'!$N$41:$O$41</definedName>
    <definedName name="OSRRefE20_3x" localSheetId="42">'202'!$N$41:$O$41</definedName>
    <definedName name="OSRRefE20_3x" localSheetId="43">'203'!$N$42:$O$42</definedName>
    <definedName name="OSRRefE20_3x" localSheetId="44">'204'!$N$42:$O$42</definedName>
    <definedName name="OSRRefE20_3x" localSheetId="45">'205'!$N$41:$O$41</definedName>
    <definedName name="OSRRefE20_3x" localSheetId="46">'206'!$N$41:$O$41</definedName>
    <definedName name="OSRRefE20_3x" localSheetId="48">'300'!$N$146:$O$146</definedName>
    <definedName name="OSRRefE20_3x" localSheetId="49">'300 &amp; 317'!$N$170:$O$170</definedName>
    <definedName name="OSRRefE20_3x" localSheetId="50">'301'!$N$43:$O$43</definedName>
    <definedName name="OSRRefE20_3x" localSheetId="51">'306'!$N$41:$O$41</definedName>
    <definedName name="OSRRefE20_3x" localSheetId="53">'307'!$N$59:$O$59</definedName>
    <definedName name="OSRRefE20_3x" localSheetId="54">'308'!$N$81:$O$81</definedName>
    <definedName name="OSRRefE20_3x" localSheetId="65">'309'!$N$42:$O$42</definedName>
    <definedName name="OSRRefE20_3x" localSheetId="64">'310'!$N$51:$O$51</definedName>
    <definedName name="OSRRefE20_3x" localSheetId="72">'310 &amp; 491'!$N$57:$O$57</definedName>
    <definedName name="OSRRefE20_3x" localSheetId="55">'311'!$N$80:$O$80</definedName>
    <definedName name="OSRRefE20_3x" localSheetId="66">'313'!$N$46:$O$46</definedName>
    <definedName name="OSRRefE20_3x" localSheetId="58">'315'!$N$102:$O$102</definedName>
    <definedName name="OSRRefE20_3x" localSheetId="61">'316'!$N$53:$O$53</definedName>
    <definedName name="OSRRefE20_3x" localSheetId="63">'317'!$N$75:$O$75</definedName>
    <definedName name="OSRRefE20_3x" localSheetId="67">'321'!$N$45:$O$45</definedName>
    <definedName name="OSRRefE20_3x" localSheetId="68">'322'!$N$43:$O$43</definedName>
    <definedName name="OSRRefE20_3x" localSheetId="69">'325'!$N$42:$O$42</definedName>
    <definedName name="OSRRefE20_3x" localSheetId="59">'326'!$N$69:$O$69</definedName>
    <definedName name="OSRRefE20_3x" localSheetId="52">'330'!$N$63:$O$63</definedName>
    <definedName name="OSRRefE20_3x" localSheetId="57">'331'!$N$103:$O$103</definedName>
    <definedName name="OSRRefE20_3x" localSheetId="60">'332'!$N$55:$O$55</definedName>
    <definedName name="OSRRefE20_3x" localSheetId="74">'405'!$N$44:$O$44</definedName>
    <definedName name="OSRRefE20_3x" localSheetId="75">'406'!$N$24:$O$24</definedName>
    <definedName name="OSRRefE20_3x" localSheetId="76">'411'!$N$41:$O$41</definedName>
    <definedName name="OSRRefE20_3x" localSheetId="77">'412'!$N$42:$O$42</definedName>
    <definedName name="OSRRefE20_3x" localSheetId="78">'413'!$N$44:$O$44</definedName>
    <definedName name="OSRRefE20_3x" localSheetId="79">'414'!$N$46:$O$46</definedName>
    <definedName name="OSRRefE20_3x" localSheetId="80">'415'!$N$48:$O$48</definedName>
    <definedName name="OSRRefE20_3x" localSheetId="81">'418'!$N$44:$O$44</definedName>
    <definedName name="OSRRefE20_3x" localSheetId="83">'423'!$N$40:$O$40</definedName>
    <definedName name="OSRRefE20_3x" localSheetId="84">'424'!$N$24:$O$24</definedName>
    <definedName name="OSRRefE20_3x" localSheetId="85">'425'!$N$29:$O$29</definedName>
    <definedName name="OSRRefE20_3x" localSheetId="88">'430'!$N$41:$O$41</definedName>
    <definedName name="OSRRefE20_3x" localSheetId="89">'433'!$N$49:$O$49</definedName>
    <definedName name="OSRRefE20_3x" localSheetId="91">'444'!$N$49:$O$49</definedName>
    <definedName name="OSRRefE20_3x" localSheetId="92">'450'!$N$45:$O$45</definedName>
    <definedName name="OSRRefE20_3x" localSheetId="73">'491'!$N$51:$O$51</definedName>
    <definedName name="OSRRefE20_3x" localSheetId="87">'492'!$N$49:$O$49</definedName>
    <definedName name="OSRRefE20_3x" localSheetId="94">'501'!$N$44:$O$44</definedName>
    <definedName name="OSRRefE20_3x" localSheetId="39">'Div 2'!$N$43:$O$43</definedName>
    <definedName name="OSRRefE20_3x" localSheetId="47">'Div 3'!$N$150:$O$150</definedName>
    <definedName name="OSRRefE20_3x" localSheetId="71">'Div 4'!$N$54:$O$54</definedName>
    <definedName name="OSRRefE20_3x" localSheetId="93">'Div 5'!$N$44:$O$44</definedName>
    <definedName name="OSRRefE20_3x" localSheetId="62">'Div 6'!$N$75:$O$75</definedName>
    <definedName name="OSRRefE20_3x" localSheetId="2">Summary!$N$180:$O$180</definedName>
    <definedName name="OSRRefE20_4x" localSheetId="41">'201'!$N$43:$O$43</definedName>
    <definedName name="OSRRefE20_4x" localSheetId="42">'202'!$N$43:$O$43</definedName>
    <definedName name="OSRRefE20_4x" localSheetId="43">'203'!$N$44:$O$44</definedName>
    <definedName name="OSRRefE20_4x" localSheetId="44">'204'!$N$44:$O$44</definedName>
    <definedName name="OSRRefE20_4x" localSheetId="45">'205'!$N$43:$O$43</definedName>
    <definedName name="OSRRefE20_4x" localSheetId="46">'206'!$N$43:$O$43</definedName>
    <definedName name="OSRRefE20_4x" localSheetId="48">'300'!$N$149:$O$149</definedName>
    <definedName name="OSRRefE20_4x" localSheetId="49">'300 &amp; 317'!$N$173:$O$173</definedName>
    <definedName name="OSRRefE20_4x" localSheetId="50">'301'!$N$46:$O$46</definedName>
    <definedName name="OSRRefE20_4x" localSheetId="51">'306'!$N$43:$O$43</definedName>
    <definedName name="OSRRefE20_4x" localSheetId="53">'307'!$N$61:$O$61</definedName>
    <definedName name="OSRRefE20_4x" localSheetId="54">'308'!$N$84:$O$84</definedName>
    <definedName name="OSRRefE20_4x" localSheetId="65">'309'!$N$44:$O$44</definedName>
    <definedName name="OSRRefE20_4x" localSheetId="64">'310'!$N$53:$O$53</definedName>
    <definedName name="OSRRefE20_4x" localSheetId="72">'310 &amp; 491'!$N$59:$O$59</definedName>
    <definedName name="OSRRefE20_4x" localSheetId="55">'311'!$N$83:$O$83</definedName>
    <definedName name="OSRRefE20_4x" localSheetId="66">'313'!$N$48:$O$48</definedName>
    <definedName name="OSRRefE20_4x" localSheetId="58">'315'!$N$104:$O$104</definedName>
    <definedName name="OSRRefE20_4x" localSheetId="61">'316'!$N$55:$O$55</definedName>
    <definedName name="OSRRefE20_4x" localSheetId="63">'317'!$N$77:$O$77</definedName>
    <definedName name="OSRRefE20_4x" localSheetId="67">'321'!$N$47:$O$47</definedName>
    <definedName name="OSRRefE20_4x" localSheetId="68">'322'!$N$45:$O$45</definedName>
    <definedName name="OSRRefE20_4x" localSheetId="69">'325'!$N$44:$O$44</definedName>
    <definedName name="OSRRefE20_4x" localSheetId="59">'326'!$N$71:$O$71</definedName>
    <definedName name="OSRRefE20_4x" localSheetId="52">'330'!$N$65:$O$65</definedName>
    <definedName name="OSRRefE20_4x" localSheetId="57">'331'!$N$105:$O$105</definedName>
    <definedName name="OSRRefE20_4x" localSheetId="60">'332'!$N$57:$O$57</definedName>
    <definedName name="OSRRefE20_4x" localSheetId="74">'405'!$N$46:$O$46</definedName>
    <definedName name="OSRRefE20_4x" localSheetId="75">'406'!$N$26:$O$26</definedName>
    <definedName name="OSRRefE20_4x" localSheetId="76">'411'!$N$43:$O$43</definedName>
    <definedName name="OSRRefE20_4x" localSheetId="77">'412'!$N$44:$O$44</definedName>
    <definedName name="OSRRefE20_4x" localSheetId="78">'413'!$N$46:$O$46</definedName>
    <definedName name="OSRRefE20_4x" localSheetId="79">'414'!$N$48:$O$48</definedName>
    <definedName name="OSRRefE20_4x" localSheetId="80">'415'!$N$50:$O$50</definedName>
    <definedName name="OSRRefE20_4x" localSheetId="81">'418'!$N$46:$O$46</definedName>
    <definedName name="OSRRefE20_4x" localSheetId="83">'423'!$N$43:$O$43</definedName>
    <definedName name="OSRRefE20_4x" localSheetId="85">'425'!$N$31:$O$31</definedName>
    <definedName name="OSRRefE20_4x" localSheetId="88">'430'!$N$43:$O$43</definedName>
    <definedName name="OSRRefE20_4x" localSheetId="89">'433'!$N$51:$O$51</definedName>
    <definedName name="OSRRefE20_4x" localSheetId="91">'444'!$N$51:$O$51</definedName>
    <definedName name="OSRRefE20_4x" localSheetId="92">'450'!$N$47:$O$47</definedName>
    <definedName name="OSRRefE20_4x" localSheetId="73">'491'!$N$53:$O$53</definedName>
    <definedName name="OSRRefE20_4x" localSheetId="87">'492'!$N$51:$O$51</definedName>
    <definedName name="OSRRefE20_4x" localSheetId="94">'501'!$N$46:$O$46</definedName>
    <definedName name="OSRRefE20_4x" localSheetId="39">'Div 2'!$N$45:$O$45</definedName>
    <definedName name="OSRRefE20_4x" localSheetId="47">'Div 3'!$N$153:$O$153</definedName>
    <definedName name="OSRRefE20_4x" localSheetId="71">'Div 4'!$N$56:$O$56</definedName>
    <definedName name="OSRRefE20_4x" localSheetId="93">'Div 5'!$N$46:$O$46</definedName>
    <definedName name="OSRRefE20_4x" localSheetId="62">'Div 6'!$N$77:$O$77</definedName>
    <definedName name="OSRRefE20_4x" localSheetId="2">Summary!$N$183:$O$183</definedName>
    <definedName name="OSRRefE20_5x" localSheetId="41">'201'!$N$45:$O$45</definedName>
    <definedName name="OSRRefE20_5x" localSheetId="42">'202'!$N$46:$O$46</definedName>
    <definedName name="OSRRefE20_5x" localSheetId="43">'203'!$N$46:$O$46</definedName>
    <definedName name="OSRRefE20_5x" localSheetId="44">'204'!$N$46:$O$46</definedName>
    <definedName name="OSRRefE20_5x" localSheetId="45">'205'!$N$46:$O$46</definedName>
    <definedName name="OSRRefE20_5x" localSheetId="46">'206'!$N$45:$O$45</definedName>
    <definedName name="OSRRefE20_5x" localSheetId="48">'300'!$N$151:$O$151</definedName>
    <definedName name="OSRRefE20_5x" localSheetId="49">'300 &amp; 317'!$N$175:$O$175</definedName>
    <definedName name="OSRRefE20_5x" localSheetId="50">'301'!$N$48:$O$48</definedName>
    <definedName name="OSRRefE20_5x" localSheetId="51">'306'!$N$45:$O$45</definedName>
    <definedName name="OSRRefE20_5x" localSheetId="53">'307'!$N$63:$O$63</definedName>
    <definedName name="OSRRefE20_5x" localSheetId="54">'308'!$N$86:$O$86</definedName>
    <definedName name="OSRRefE20_5x" localSheetId="65">'309'!$N$46:$O$46</definedName>
    <definedName name="OSRRefE20_5x" localSheetId="64">'310'!$N$55:$O$55</definedName>
    <definedName name="OSRRefE20_5x" localSheetId="72">'310 &amp; 491'!$N$61:$O$61</definedName>
    <definedName name="OSRRefE20_5x" localSheetId="55">'311'!$N$85:$O$85</definedName>
    <definedName name="OSRRefE20_5x" localSheetId="66">'313'!$N$50:$O$50</definedName>
    <definedName name="OSRRefE20_5x" localSheetId="58">'315'!$N$106:$O$106</definedName>
    <definedName name="OSRRefE20_5x" localSheetId="61">'316'!$N$57:$O$57</definedName>
    <definedName name="OSRRefE20_5x" localSheetId="63">'317'!$N$79:$O$79</definedName>
    <definedName name="OSRRefE20_5x" localSheetId="67">'321'!$N$49:$O$49</definedName>
    <definedName name="OSRRefE20_5x" localSheetId="68">'322'!$N$47:$O$47</definedName>
    <definedName name="OSRRefE20_5x" localSheetId="69">'325'!$N$46:$O$46</definedName>
    <definedName name="OSRRefE20_5x" localSheetId="59">'326'!$N$73:$O$73</definedName>
    <definedName name="OSRRefE20_5x" localSheetId="52">'330'!$N$67:$O$67</definedName>
    <definedName name="OSRRefE20_5x" localSheetId="57">'331'!$N$107:$O$107</definedName>
    <definedName name="OSRRefE20_5x" localSheetId="60">'332'!$N$59:$O$59</definedName>
    <definedName name="OSRRefE20_5x" localSheetId="74">'405'!$N$49:$O$49</definedName>
    <definedName name="OSRRefE20_5x" localSheetId="76">'411'!$N$46:$O$46</definedName>
    <definedName name="OSRRefE20_5x" localSheetId="77">'412'!$N$47:$O$47</definedName>
    <definedName name="OSRRefE20_5x" localSheetId="78">'413'!$N$48:$O$48</definedName>
    <definedName name="OSRRefE20_5x" localSheetId="79">'414'!$N$50:$O$50</definedName>
    <definedName name="OSRRefE20_5x" localSheetId="80">'415'!$N$52:$O$52</definedName>
    <definedName name="OSRRefE20_5x" localSheetId="81">'418'!$N$49:$O$49</definedName>
    <definedName name="OSRRefE20_5x" localSheetId="83">'423'!$N$45:$O$45</definedName>
    <definedName name="OSRRefE20_5x" localSheetId="85">'425'!$N$34:$O$34</definedName>
    <definedName name="OSRRefE20_5x" localSheetId="88">'430'!$N$47:$O$47</definedName>
    <definedName name="OSRRefE20_5x" localSheetId="89">'433'!$N$53:$O$53</definedName>
    <definedName name="OSRRefE20_5x" localSheetId="91">'444'!$N$53:$O$53</definedName>
    <definedName name="OSRRefE20_5x" localSheetId="92">'450'!$N$49:$O$49</definedName>
    <definedName name="OSRRefE20_5x" localSheetId="73">'491'!$N$55:$O$55</definedName>
    <definedName name="OSRRefE20_5x" localSheetId="87">'492'!$N$53:$O$53</definedName>
    <definedName name="OSRRefE20_5x" localSheetId="94">'501'!$N$48:$O$48</definedName>
    <definedName name="OSRRefE20_5x" localSheetId="39">'Div 2'!$N$47:$O$47</definedName>
    <definedName name="OSRRefE20_5x" localSheetId="47">'Div 3'!$N$155:$O$155</definedName>
    <definedName name="OSRRefE20_5x" localSheetId="71">'Div 4'!$N$58:$O$58</definedName>
    <definedName name="OSRRefE20_5x" localSheetId="93">'Div 5'!$N$48:$O$48</definedName>
    <definedName name="OSRRefE20_5x" localSheetId="62">'Div 6'!$N$79:$O$79</definedName>
    <definedName name="OSRRefE20_5x" localSheetId="2">Summary!$N$185:$O$185</definedName>
    <definedName name="OSRRefE20_6x" localSheetId="41">'201'!$N$47:$O$47</definedName>
    <definedName name="OSRRefE20_6x" localSheetId="42">'202'!$N$48:$O$48</definedName>
    <definedName name="OSRRefE20_6x" localSheetId="43">'203'!$N$48:$O$48</definedName>
    <definedName name="OSRRefE20_6x" localSheetId="44">'204'!$N$50:$O$50</definedName>
    <definedName name="OSRRefE20_6x" localSheetId="45">'205'!$N$48:$O$48</definedName>
    <definedName name="OSRRefE20_6x" localSheetId="46">'206'!$N$47:$O$47</definedName>
    <definedName name="OSRRefE20_6x" localSheetId="48">'300'!$N$154:$O$154</definedName>
    <definedName name="OSRRefE20_6x" localSheetId="49">'300 &amp; 317'!$N$178:$O$178</definedName>
    <definedName name="OSRRefE20_6x" localSheetId="50">'301'!$N$51:$O$51</definedName>
    <definedName name="OSRRefE20_6x" localSheetId="51">'306'!$N$47:$O$47</definedName>
    <definedName name="OSRRefE20_6x" localSheetId="53">'307'!$N$66:$O$66</definedName>
    <definedName name="OSRRefE20_6x" localSheetId="54">'308'!$N$88:$O$88</definedName>
    <definedName name="OSRRefE20_6x" localSheetId="65">'309'!$N$48:$O$48</definedName>
    <definedName name="OSRRefE20_6x" localSheetId="64">'310'!$N$58:$O$58</definedName>
    <definedName name="OSRRefE20_6x" localSheetId="72">'310 &amp; 491'!$N$65:$O$65</definedName>
    <definedName name="OSRRefE20_6x" localSheetId="55">'311'!$N$87:$O$87</definedName>
    <definedName name="OSRRefE20_6x" localSheetId="66">'313'!$N$52:$O$52</definedName>
    <definedName name="OSRRefE20_6x" localSheetId="58">'315'!$N$109:$O$109</definedName>
    <definedName name="OSRRefE20_6x" localSheetId="61">'316'!$N$59:$O$59</definedName>
    <definedName name="OSRRefE20_6x" localSheetId="63">'317'!$N$81:$O$81</definedName>
    <definedName name="OSRRefE20_6x" localSheetId="67">'321'!$N$51:$O$51</definedName>
    <definedName name="OSRRefE20_6x" localSheetId="68">'322'!$N$49:$O$49</definedName>
    <definedName name="OSRRefE20_6x" localSheetId="69">'325'!$N$49:$O$49</definedName>
    <definedName name="OSRRefE20_6x" localSheetId="59">'326'!$N$75:$O$75</definedName>
    <definedName name="OSRRefE20_6x" localSheetId="52">'330'!$N$70:$O$70</definedName>
    <definedName name="OSRRefE20_6x" localSheetId="57">'331'!$N$110:$O$110</definedName>
    <definedName name="OSRRefE20_6x" localSheetId="60">'332'!$N$61:$O$61</definedName>
    <definedName name="OSRRefE20_6x" localSheetId="74">'405'!$N$51:$O$51</definedName>
    <definedName name="OSRRefE20_6x" localSheetId="76">'411'!$N$48:$O$48</definedName>
    <definedName name="OSRRefE20_6x" localSheetId="77">'412'!$N$49:$O$49</definedName>
    <definedName name="OSRRefE20_6x" localSheetId="78">'413'!$N$50:$O$50</definedName>
    <definedName name="OSRRefE20_6x" localSheetId="79">'414'!$N$52:$O$52</definedName>
    <definedName name="OSRRefE20_6x" localSheetId="80">'415'!$N$55:$O$55</definedName>
    <definedName name="OSRRefE20_6x" localSheetId="81">'418'!$N$51:$O$51</definedName>
    <definedName name="OSRRefE20_6x" localSheetId="83">'423'!$N$47:$O$47</definedName>
    <definedName name="OSRRefE20_6x" localSheetId="88">'430'!$N$50:$O$50</definedName>
    <definedName name="OSRRefE20_6x" localSheetId="89">'433'!$N$55:$O$55</definedName>
    <definedName name="OSRRefE20_6x" localSheetId="91">'444'!$N$55:$O$55</definedName>
    <definedName name="OSRRefE20_6x" localSheetId="92">'450'!$N$51:$O$51</definedName>
    <definedName name="OSRRefE20_6x" localSheetId="73">'491'!$N$59:$O$59</definedName>
    <definedName name="OSRRefE20_6x" localSheetId="87">'492'!$N$55:$O$55</definedName>
    <definedName name="OSRRefE20_6x" localSheetId="94">'501'!$N$51:$O$51</definedName>
    <definedName name="OSRRefE20_6x" localSheetId="39">'Div 2'!$N$49:$O$49</definedName>
    <definedName name="OSRRefE20_6x" localSheetId="47">'Div 3'!$N$158:$O$158</definedName>
    <definedName name="OSRRefE20_6x" localSheetId="71">'Div 4'!$N$62:$O$62</definedName>
    <definedName name="OSRRefE20_6x" localSheetId="93">'Div 5'!$N$51:$O$51</definedName>
    <definedName name="OSRRefE20_6x" localSheetId="62">'Div 6'!$N$81:$O$81</definedName>
    <definedName name="OSRRefE20_6x" localSheetId="2">Summary!$N$189:$O$189</definedName>
    <definedName name="OSRRefE20_7x" localSheetId="41">'201'!$N$49:$O$49</definedName>
    <definedName name="OSRRefE20_7x" localSheetId="42">'202'!$N$50:$O$50</definedName>
    <definedName name="OSRRefE20_7x" localSheetId="43">'203'!$N$50:$O$50</definedName>
    <definedName name="OSRRefE20_7x" localSheetId="44">'204'!$N$52:$O$52</definedName>
    <definedName name="OSRRefE20_7x" localSheetId="45">'205'!$N$51:$O$51</definedName>
    <definedName name="OSRRefE20_7x" localSheetId="48">'300'!$N$157:$O$157</definedName>
    <definedName name="OSRRefE20_7x" localSheetId="49">'300 &amp; 317'!$N$181:$O$181</definedName>
    <definedName name="OSRRefE20_7x" localSheetId="50">'301'!$N$53:$O$53</definedName>
    <definedName name="OSRRefE20_7x" localSheetId="51">'306'!$N$49:$O$49</definedName>
    <definedName name="OSRRefE20_7x" localSheetId="53">'307'!$N$69:$O$69</definedName>
    <definedName name="OSRRefE20_7x" localSheetId="54">'308'!$N$91:$O$91</definedName>
    <definedName name="OSRRefE20_7x" localSheetId="65">'309'!$N$50:$O$50</definedName>
    <definedName name="OSRRefE20_7x" localSheetId="64">'310'!$N$60:$O$60</definedName>
    <definedName name="OSRRefE20_7x" localSheetId="72">'310 &amp; 491'!$N$67:$O$67</definedName>
    <definedName name="OSRRefE20_7x" localSheetId="55">'311'!$N$90:$O$90</definedName>
    <definedName name="OSRRefE20_7x" localSheetId="58">'315'!$N$111:$O$111</definedName>
    <definedName name="OSRRefE20_7x" localSheetId="61">'316'!$N$62:$O$62</definedName>
    <definedName name="OSRRefE20_7x" localSheetId="63">'317'!$N$84:$O$84</definedName>
    <definedName name="OSRRefE20_7x" localSheetId="67">'321'!$N$54:$O$54</definedName>
    <definedName name="OSRRefE20_7x" localSheetId="68">'322'!$N$52:$O$52</definedName>
    <definedName name="OSRRefE20_7x" localSheetId="69">'325'!$N$51:$O$51</definedName>
    <definedName name="OSRRefE20_7x" localSheetId="59">'326'!$N$77:$O$77</definedName>
    <definedName name="OSRRefE20_7x" localSheetId="52">'330'!$N$73:$O$73</definedName>
    <definedName name="OSRRefE20_7x" localSheetId="57">'331'!$N$112:$O$112</definedName>
    <definedName name="OSRRefE20_7x" localSheetId="60">'332'!$N$64:$O$64</definedName>
    <definedName name="OSRRefE20_7x" localSheetId="74">'405'!$N$53:$O$53</definedName>
    <definedName name="OSRRefE20_7x" localSheetId="76">'411'!$N$50:$O$50</definedName>
    <definedName name="OSRRefE20_7x" localSheetId="77">'412'!$N$51:$O$51</definedName>
    <definedName name="OSRRefE20_7x" localSheetId="78">'413'!$N$53:$O$53</definedName>
    <definedName name="OSRRefE20_7x" localSheetId="79">'414'!$N$54:$O$54</definedName>
    <definedName name="OSRRefE20_7x" localSheetId="80">'415'!$N$57:$O$57</definedName>
    <definedName name="OSRRefE20_7x" localSheetId="81">'418'!$N$53:$O$53</definedName>
    <definedName name="OSRRefE20_7x" localSheetId="88">'430'!$N$52:$O$52</definedName>
    <definedName name="OSRRefE20_7x" localSheetId="89">'433'!$N$57:$O$57</definedName>
    <definedName name="OSRRefE20_7x" localSheetId="91">'444'!$N$57:$O$57</definedName>
    <definedName name="OSRRefE20_7x" localSheetId="92">'450'!$N$53:$O$53</definedName>
    <definedName name="OSRRefE20_7x" localSheetId="73">'491'!$N$61:$O$61</definedName>
    <definedName name="OSRRefE20_7x" localSheetId="87">'492'!$N$57:$O$57</definedName>
    <definedName name="OSRRefE20_7x" localSheetId="94">'501'!$N$53:$O$53</definedName>
    <definedName name="OSRRefE20_7x" localSheetId="39">'Div 2'!$N$51:$O$51</definedName>
    <definedName name="OSRRefE20_7x" localSheetId="47">'Div 3'!$N$161:$O$161</definedName>
    <definedName name="OSRRefE20_7x" localSheetId="71">'Div 4'!$N$64:$O$64</definedName>
    <definedName name="OSRRefE20_7x" localSheetId="93">'Div 5'!$N$53:$O$53</definedName>
    <definedName name="OSRRefE20_7x" localSheetId="62">'Div 6'!$N$84:$O$84</definedName>
    <definedName name="OSRRefE20_7x" localSheetId="2">Summary!$N$192:$O$192</definedName>
    <definedName name="OSRRefE20_8x" localSheetId="41">'201'!$N$51:$O$51</definedName>
    <definedName name="OSRRefE20_8x" localSheetId="42">'202'!$N$54:$O$54</definedName>
    <definedName name="OSRRefE20_8x" localSheetId="43">'203'!$N$52:$O$52</definedName>
    <definedName name="OSRRefE20_8x" localSheetId="44">'204'!$N$54:$O$54</definedName>
    <definedName name="OSRRefE20_8x" localSheetId="48">'300'!$N$159:$O$159</definedName>
    <definedName name="OSRRefE20_8x" localSheetId="49">'300 &amp; 317'!$N$183:$O$183</definedName>
    <definedName name="OSRRefE20_8x" localSheetId="50">'301'!$N$55:$O$55</definedName>
    <definedName name="OSRRefE20_8x" localSheetId="51">'306'!$N$51:$O$51</definedName>
    <definedName name="OSRRefE20_8x" localSheetId="53">'307'!$N$71:$O$71</definedName>
    <definedName name="OSRRefE20_8x" localSheetId="54">'308'!$N$94:$O$94</definedName>
    <definedName name="OSRRefE20_8x" localSheetId="65">'309'!$N$53:$O$53</definedName>
    <definedName name="OSRRefE20_8x" localSheetId="64">'310'!$N$62:$O$62</definedName>
    <definedName name="OSRRefE20_8x" localSheetId="72">'310 &amp; 491'!$N$69:$O$69</definedName>
    <definedName name="OSRRefE20_8x" localSheetId="55">'311'!$N$93:$O$93</definedName>
    <definedName name="OSRRefE20_8x" localSheetId="58">'315'!$N$114:$O$114</definedName>
    <definedName name="OSRRefE20_8x" localSheetId="61">'316'!$N$66:$O$66</definedName>
    <definedName name="OSRRefE20_8x" localSheetId="63">'317'!$N$86:$O$86</definedName>
    <definedName name="OSRRefE20_8x" localSheetId="67">'321'!$N$56:$O$56</definedName>
    <definedName name="OSRRefE20_8x" localSheetId="68">'322'!$N$55:$O$55</definedName>
    <definedName name="OSRRefE20_8x" localSheetId="69">'325'!$N$53:$O$53</definedName>
    <definedName name="OSRRefE20_8x" localSheetId="59">'326'!$N$79:$O$79</definedName>
    <definedName name="OSRRefE20_8x" localSheetId="52">'330'!$N$75:$O$75</definedName>
    <definedName name="OSRRefE20_8x" localSheetId="57">'331'!$N$115:$O$115</definedName>
    <definedName name="OSRRefE20_8x" localSheetId="60">'332'!$N$68:$O$68</definedName>
    <definedName name="OSRRefE20_8x" localSheetId="74">'405'!$N$55:$O$55</definedName>
    <definedName name="OSRRefE20_8x" localSheetId="76">'411'!$N$52:$O$52</definedName>
    <definedName name="OSRRefE20_8x" localSheetId="77">'412'!$N$53:$O$53</definedName>
    <definedName name="OSRRefE20_8x" localSheetId="78">'413'!$N$56:$O$56</definedName>
    <definedName name="OSRRefE20_8x" localSheetId="79">'414'!$N$56:$O$56</definedName>
    <definedName name="OSRRefE20_8x" localSheetId="80">'415'!$N$59:$O$59</definedName>
    <definedName name="OSRRefE20_8x" localSheetId="81">'418'!$N$55:$O$55</definedName>
    <definedName name="OSRRefE20_8x" localSheetId="89">'433'!$N$59:$O$59</definedName>
    <definedName name="OSRRefE20_8x" localSheetId="91">'444'!$N$59:$O$59</definedName>
    <definedName name="OSRRefE20_8x" localSheetId="92">'450'!$N$55:$O$55</definedName>
    <definedName name="OSRRefE20_8x" localSheetId="73">'491'!$N$63:$O$63</definedName>
    <definedName name="OSRRefE20_8x" localSheetId="87">'492'!$N$59:$O$59</definedName>
    <definedName name="OSRRefE20_8x" localSheetId="94">'501'!$N$55:$O$55</definedName>
    <definedName name="OSRRefE20_8x" localSheetId="39">'Div 2'!$N$53:$O$53</definedName>
    <definedName name="OSRRefE20_8x" localSheetId="47">'Div 3'!$N$163:$O$163</definedName>
    <definedName name="OSRRefE20_8x" localSheetId="71">'Div 4'!$N$66:$O$66</definedName>
    <definedName name="OSRRefE20_8x" localSheetId="93">'Div 5'!$N$55:$O$55</definedName>
    <definedName name="OSRRefE20_8x" localSheetId="62">'Div 6'!$N$86:$O$86</definedName>
    <definedName name="OSRRefE20_8x" localSheetId="2">Summary!$N$194:$O$194</definedName>
    <definedName name="OSRRefE20_9x" localSheetId="41">'201'!$N$53:$O$53</definedName>
    <definedName name="OSRRefE20_9x" localSheetId="42">'202'!$N$56:$O$56</definedName>
    <definedName name="OSRRefE20_9x" localSheetId="43">'203'!$N$56:$O$56</definedName>
    <definedName name="OSRRefE20_9x" localSheetId="44">'204'!$N$57:$O$57</definedName>
    <definedName name="OSRRefE20_9x" localSheetId="48">'300'!$N$161:$O$161</definedName>
    <definedName name="OSRRefE20_9x" localSheetId="49">'300 &amp; 317'!$N$185:$O$185</definedName>
    <definedName name="OSRRefE20_9x" localSheetId="50">'301'!$N$57:$O$57</definedName>
    <definedName name="OSRRefE20_9x" localSheetId="53">'307'!$N$74:$O$74</definedName>
    <definedName name="OSRRefE20_9x" localSheetId="54">'308'!$N$96:$O$96</definedName>
    <definedName name="OSRRefE20_9x" localSheetId="65">'309'!$N$56:$O$56</definedName>
    <definedName name="OSRRefE20_9x" localSheetId="64">'310'!$N$64:$O$64</definedName>
    <definedName name="OSRRefE20_9x" localSheetId="72">'310 &amp; 491'!$N$72:$O$72</definedName>
    <definedName name="OSRRefE20_9x" localSheetId="55">'311'!$N$95:$O$95</definedName>
    <definedName name="OSRRefE20_9x" localSheetId="58">'315'!$N$116:$O$116</definedName>
    <definedName name="OSRRefE20_9x" localSheetId="61">'316'!$N$68:$O$68</definedName>
    <definedName name="OSRRefE20_9x" localSheetId="63">'317'!$N$88:$O$88</definedName>
    <definedName name="OSRRefE20_9x" localSheetId="67">'321'!$N$59:$O$59</definedName>
    <definedName name="OSRRefE20_9x" localSheetId="68">'322'!$N$59:$O$59</definedName>
    <definedName name="OSRRefE20_9x" localSheetId="69">'325'!$N$55:$O$55</definedName>
    <definedName name="OSRRefE20_9x" localSheetId="59">'326'!$N$81:$O$81</definedName>
    <definedName name="OSRRefE20_9x" localSheetId="52">'330'!$N$78:$O$78</definedName>
    <definedName name="OSRRefE20_9x" localSheetId="57">'331'!$N$117:$O$117</definedName>
    <definedName name="OSRRefE20_9x" localSheetId="60">'332'!$N$70:$O$70</definedName>
    <definedName name="OSRRefE20_9x" localSheetId="74">'405'!$N$57:$O$57</definedName>
    <definedName name="OSRRefE20_9x" localSheetId="76">'411'!$N$54:$O$54</definedName>
    <definedName name="OSRRefE20_9x" localSheetId="77">'412'!$N$56:$O$56</definedName>
    <definedName name="OSRRefE20_9x" localSheetId="78">'413'!$N$59:$O$59</definedName>
    <definedName name="OSRRefE20_9x" localSheetId="79">'414'!$N$59:$O$59</definedName>
    <definedName name="OSRRefE20_9x" localSheetId="80">'415'!$N$61:$O$61</definedName>
    <definedName name="OSRRefE20_9x" localSheetId="81">'418'!$N$58:$O$58</definedName>
    <definedName name="OSRRefE20_9x" localSheetId="89">'433'!$N$61:$O$61</definedName>
    <definedName name="OSRRefE20_9x" localSheetId="91">'444'!$N$61:$O$61</definedName>
    <definedName name="OSRRefE20_9x" localSheetId="92">'450'!$N$57:$O$57</definedName>
    <definedName name="OSRRefE20_9x" localSheetId="73">'491'!$N$65:$O$65</definedName>
    <definedName name="OSRRefE20_9x" localSheetId="87">'492'!$N$61:$O$61</definedName>
    <definedName name="OSRRefE20_9x" localSheetId="94">'501'!$N$57:$O$57</definedName>
    <definedName name="OSRRefE20_9x" localSheetId="39">'Div 2'!$N$55:$O$55</definedName>
    <definedName name="OSRRefE20_9x" localSheetId="47">'Div 3'!$N$165:$O$165</definedName>
    <definedName name="OSRRefE20_9x" localSheetId="71">'Div 4'!$N$68:$O$68</definedName>
    <definedName name="OSRRefE20_9x" localSheetId="93">'Div 5'!$N$57:$O$57</definedName>
    <definedName name="OSRRefE20_9x" localSheetId="62">'Div 6'!$N$88:$O$88</definedName>
    <definedName name="OSRRefE20_9x" localSheetId="2">Summary!$N$196:$O$196</definedName>
    <definedName name="OSRRefE20x_0" localSheetId="40">'200'!$N$18,'200'!$N$20,'200'!$N$22,'200'!$N$24</definedName>
    <definedName name="OSRRefE20x_0" localSheetId="41">'201'!$N$18,'201'!$N$28,'201'!$N$39,'201'!$N$41,'201'!$N$43,'201'!$N$45,'201'!$N$47,'201'!$N$49,'201'!$N$51,'201'!$N$53,'201'!$N$55,'201'!$N$58,'201'!$N$61,'201'!$N$63,'201'!$N$67,'201'!$N$69</definedName>
    <definedName name="OSRRefE20x_0" localSheetId="42">'202'!$N$18,'202'!$N$28,'202'!$N$39,'202'!$N$41,'202'!$N$43,'202'!$N$46,'202'!$N$48,'202'!$N$50,'202'!$N$54,'202'!$N$56,'202'!$N$59,'202'!$N$61,'202'!$N$63</definedName>
    <definedName name="OSRRefE20x_0" localSheetId="43">'203'!$N$18,'203'!$N$29,'203'!$N$40,'203'!$N$42,'203'!$N$44,'203'!$N$46,'203'!$N$48,'203'!$N$50,'203'!$N$52,'203'!$N$56,'203'!$N$59,'203'!$N$61,'203'!$N$65,'203'!$N$67,'203'!$N$69</definedName>
    <definedName name="OSRRefE20x_0" localSheetId="44">'204'!$N$18,'204'!$N$29,'204'!$N$40,'204'!$N$42,'204'!$N$44,'204'!$N$46,'204'!$N$50,'204'!$N$52,'204'!$N$54,'204'!$N$57,'204'!$N$59</definedName>
    <definedName name="OSRRefE20x_0" localSheetId="45">'205'!$N$18,'205'!$N$28,'205'!$N$39,'205'!$N$41,'205'!$N$43,'205'!$N$46,'205'!$N$48,'205'!$N$51</definedName>
    <definedName name="OSRRefE20x_0" localSheetId="46">'206'!$N$18,'206'!$N$28,'206'!$N$39,'206'!$N$41,'206'!$N$43,'206'!$N$45,'206'!$N$47</definedName>
    <definedName name="OSRRefE20x_0" localSheetId="48">'300'!$N$122,'300'!$N$133,'300'!$N$144,'300'!$N$146,'300'!$N$149,'300'!$N$151,'300'!$N$154,'300'!$N$157,'300'!$N$159,'300'!$N$161,'300'!$N$163,'300'!$N$166,'300'!$N$169,'300'!$N$171,'300'!$N$174,'300'!$N$176,'300'!$N$178,'300'!$N$183,'300'!$N$188,'300'!$N$193,'300'!$N$196,'300'!$N$206,'300'!$N$209,'300'!$N$211,'300'!$N$215</definedName>
    <definedName name="OSRRefE20x_0" localSheetId="49">'300 &amp; 317'!$N$146,'300 &amp; 317'!$N$157,'300 &amp; 317'!$N$168,'300 &amp; 317'!$N$170,'300 &amp; 317'!$N$173,'300 &amp; 317'!$N$175,'300 &amp; 317'!$N$178,'300 &amp; 317'!$N$181,'300 &amp; 317'!$N$183,'300 &amp; 317'!$N$185,'300 &amp; 317'!$N$187,'300 &amp; 317'!$N$190,'300 &amp; 317'!$N$193,'300 &amp; 317'!$N$195,'300 &amp; 317'!$N$198,'300 &amp; 317'!$N$200,'300 &amp; 317'!$N$202,'300 &amp; 317'!$N$207,'300 &amp; 317'!$N$212,'300 &amp; 317'!$N$217,'300 &amp; 317'!$N$220,'300 &amp; 317'!$N$230,'300 &amp; 317'!$N$233,'300 &amp; 317'!$N$235,'300 &amp; 317'!$N$239</definedName>
    <definedName name="OSRRefE20x_0" localSheetId="50">'301'!$N$19,'301'!$N$30,'301'!$N$41,'301'!$N$43,'301'!$N$46,'301'!$N$48,'301'!$N$51,'301'!$N$53,'301'!$N$55,'301'!$N$57,'301'!$N$59,'301'!$N$61,'301'!$N$63,'301'!$N$65,'301'!$N$67,'301'!$N$69,'301'!$N$74,'301'!$N$78,'301'!$N$80,'301'!$N$88,'301'!$N$90,'301'!$N$92,'301'!$N$95</definedName>
    <definedName name="OSRRefE20x_0" localSheetId="51">'306'!$N$18,'306'!$N$28,'306'!$N$39,'306'!$N$41,'306'!$N$43,'306'!$N$45,'306'!$N$47,'306'!$N$49,'306'!$N$51</definedName>
    <definedName name="OSRRefE20x_0" localSheetId="53">'307'!$N$37,'307'!$N$46,'307'!$N$57,'307'!$N$59,'307'!$N$61,'307'!$N$63,'307'!$N$66,'307'!$N$69,'307'!$N$71,'307'!$N$74,'307'!$N$77,'307'!$N$81,'307'!$N$84</definedName>
    <definedName name="OSRRefE20x_0" localSheetId="54">'308'!$N$57,'308'!$N$68,'308'!$N$79,'308'!$N$81,'308'!$N$84,'308'!$N$86,'308'!$N$88,'308'!$N$91,'308'!$N$94,'308'!$N$96,'308'!$N$100,'308'!$N$103,'308'!$N$107,'308'!$N$110</definedName>
    <definedName name="OSRRefE20x_0" localSheetId="65">'309'!$N$20,'309'!$N$29,'309'!$N$40,'309'!$N$42,'309'!$N$44,'309'!$N$46,'309'!$N$48,'309'!$N$50,'309'!$N$53,'309'!$N$56,'309'!$N$59</definedName>
    <definedName name="OSRRefE20x_0" localSheetId="64">'310'!$N$28,'310'!$N$38,'310'!$N$49,'310'!$N$51,'310'!$N$53,'310'!$N$55,'310'!$N$58,'310'!$N$60,'310'!$N$62,'310'!$N$64,'310'!$N$66,'310'!$N$68,'310'!$N$70,'310'!$N$73,'310'!$N$75,'310'!$N$79,'310'!$N$86,'310'!$N$89</definedName>
    <definedName name="OSRRefE20x_0" localSheetId="72">'310 &amp; 491'!$N$34,'310 &amp; 491'!$N$44,'310 &amp; 491'!$N$55,'310 &amp; 491'!$N$57,'310 &amp; 491'!$N$59,'310 &amp; 491'!$N$61,'310 &amp; 491'!$N$65,'310 &amp; 491'!$N$67,'310 &amp; 491'!$N$69,'310 &amp; 491'!$N$72,'310 &amp; 491'!$N$74,'310 &amp; 491'!$N$76,'310 &amp; 491'!$N$78,'310 &amp; 491'!$N$80,'310 &amp; 491'!$N$82,'310 &amp; 491'!$N$87,'310 &amp; 491'!$N$90,'310 &amp; 491'!$N$96,'310 &amp; 491'!$N$98,'310 &amp; 491'!$N$109,'310 &amp; 491'!$N$112,'310 &amp; 491'!$N$114,'310 &amp; 491'!$N$116</definedName>
    <definedName name="OSRRefE20x_0" localSheetId="55">'311'!$N$56,'311'!$N$67,'311'!$N$78,'311'!$N$80,'311'!$N$83,'311'!$N$85,'311'!$N$87,'311'!$N$90,'311'!$N$93,'311'!$N$95,'311'!$N$99,'311'!$N$102,'311'!$N$106,'311'!$N$109</definedName>
    <definedName name="OSRRefE20x_0" localSheetId="66">'313'!$N$23,'313'!$N$33,'313'!$N$44,'313'!$N$46,'313'!$N$48,'313'!$N$50,'313'!$N$52</definedName>
    <definedName name="OSRRefE20x_0" localSheetId="58">'315'!$N$79,'315'!$N$89,'315'!$N$100,'315'!$N$102,'315'!$N$104,'315'!$N$106,'315'!$N$109,'315'!$N$111,'315'!$N$114,'315'!$N$116,'315'!$N$119,'315'!$N$121,'315'!$N$123,'315'!$N$127,'315'!$N$130,'315'!$N$138,'315'!$N$140</definedName>
    <definedName name="OSRRefE20x_0" localSheetId="61">'316'!$N$30,'316'!$N$40,'316'!$N$51,'316'!$N$53,'316'!$N$55,'316'!$N$57,'316'!$N$59,'316'!$N$62,'316'!$N$66,'316'!$N$68,'316'!$N$74,'316'!$N$76</definedName>
    <definedName name="OSRRefE20x_0" localSheetId="63">'317'!$N$51,'317'!$N$62,'317'!$N$73,'317'!$N$75,'317'!$N$77,'317'!$N$79,'317'!$N$81,'317'!$N$84,'317'!$N$86,'317'!$N$88,'317'!$N$91,'317'!$N$93,'317'!$N$98,'317'!$N$100</definedName>
    <definedName name="OSRRefE20x_0" localSheetId="67">'321'!$N$22,'321'!$N$32,'321'!$N$43,'321'!$N$45,'321'!$N$47,'321'!$N$49,'321'!$N$51,'321'!$N$54,'321'!$N$56,'321'!$N$59,'321'!$N$62,'321'!$N$65</definedName>
    <definedName name="OSRRefE20x_0" localSheetId="68">'322'!$N$21,'322'!$N$30,'322'!$N$41,'322'!$N$43,'322'!$N$45,'322'!$N$47,'322'!$N$49,'322'!$N$52,'322'!$N$55,'322'!$N$59,'322'!$N$61</definedName>
    <definedName name="OSRRefE20x_0" localSheetId="56">'324'!$N$25,'324'!$N$34</definedName>
    <definedName name="OSRRefE20x_0" localSheetId="69">'325'!$N$20,'325'!$N$29,'325'!$N$40,'325'!$N$42,'325'!$N$44,'325'!$N$46,'325'!$N$49,'325'!$N$51,'325'!$N$53,'325'!$N$55,'325'!$N$57,'325'!$N$60,'325'!$N$63,'325'!$N$69,'325'!$N$72</definedName>
    <definedName name="OSRRefE20x_0" localSheetId="59">'326'!$N$46,'326'!$N$56,'326'!$N$67,'326'!$N$69,'326'!$N$71,'326'!$N$73,'326'!$N$75,'326'!$N$77,'326'!$N$79,'326'!$N$81,'326'!$N$83,'326'!$N$85,'326'!$N$87,'326'!$N$91,'326'!$N$95,'326'!$N$98,'326'!$N$105,'326'!$N$108,'326'!$N$110,'326'!$N$113</definedName>
    <definedName name="OSRRefE20x_0" localSheetId="70">'327'!$N$22,'327'!$N$24</definedName>
    <definedName name="OSRRefE20x_0" localSheetId="52">'330'!$N$40,'330'!$N$50,'330'!$N$61,'330'!$N$63,'330'!$N$65,'330'!$N$67,'330'!$N$70,'330'!$N$73,'330'!$N$75,'330'!$N$78,'330'!$N$81,'330'!$N$85,'330'!$N$88</definedName>
    <definedName name="OSRRefE20x_0" localSheetId="57">'331'!$N$80,'331'!$N$90,'331'!$N$101,'331'!$N$103,'331'!$N$105,'331'!$N$107,'331'!$N$110,'331'!$N$112,'331'!$N$115,'331'!$N$117,'331'!$N$119,'331'!$N$122,'331'!$N$124,'331'!$N$126,'331'!$N$130,'331'!$N$134,'331'!$N$138,'331'!$N$141,'331'!$N$150,'331'!$N$153,'331'!$N$155,'331'!$N$158</definedName>
    <definedName name="OSRRefE20x_0" localSheetId="60">'332'!$N$32,'332'!$N$42,'332'!$N$53,'332'!$N$55,'332'!$N$57,'332'!$N$59,'332'!$N$61,'332'!$N$64,'332'!$N$68,'332'!$N$70,'332'!$N$76,'332'!$N$78</definedName>
    <definedName name="OSRRefE20x_0" localSheetId="74">'405'!$N$22,'405'!$N$31,'405'!$N$42,'405'!$N$44,'405'!$N$46,'405'!$N$49,'405'!$N$51,'405'!$N$53,'405'!$N$55,'405'!$N$57,'405'!$N$60,'405'!$N$62,'405'!$N$67,'405'!$N$69,'405'!$N$78,'405'!$N$80</definedName>
    <definedName name="OSRRefE20x_0" localSheetId="75">'406'!$N$18,'406'!$N$20,'406'!$N$22,'406'!$N$24,'406'!$N$26</definedName>
    <definedName name="OSRRefE20x_0" localSheetId="76">'411'!$N$18,'411'!$N$28,'411'!$N$39,'411'!$N$41,'411'!$N$43,'411'!$N$46,'411'!$N$48,'411'!$N$50,'411'!$N$52,'411'!$N$54,'411'!$N$59,'411'!$N$64,'411'!$N$66,'411'!$N$73,'411'!$N$75,'411'!$N$77</definedName>
    <definedName name="OSRRefE20x_0" localSheetId="77">'412'!$N$20,'412'!$N$29,'412'!$N$40,'412'!$N$42,'412'!$N$44,'412'!$N$47,'412'!$N$49,'412'!$N$51,'412'!$N$53,'412'!$N$56,'412'!$N$58,'412'!$N$63,'412'!$N$68,'412'!$N$71</definedName>
    <definedName name="OSRRefE20x_0" localSheetId="78">'413'!$N$21,'413'!$N$31,'413'!$N$42,'413'!$N$44,'413'!$N$46,'413'!$N$48,'413'!$N$50,'413'!$N$53,'413'!$N$56,'413'!$N$59</definedName>
    <definedName name="OSRRefE20x_0" localSheetId="79">'414'!$N$23,'414'!$N$33,'414'!$N$44,'414'!$N$46,'414'!$N$48,'414'!$N$50,'414'!$N$52,'414'!$N$54,'414'!$N$56,'414'!$N$59,'414'!$N$61,'414'!$N$63,'414'!$N$65,'414'!$N$69</definedName>
    <definedName name="OSRRefE20x_0" localSheetId="80">'415'!$N$25,'415'!$N$35,'415'!$N$46,'415'!$N$48,'415'!$N$50,'415'!$N$52,'415'!$N$55,'415'!$N$57,'415'!$N$59,'415'!$N$61,'415'!$N$63,'415'!$N$65,'415'!$N$68,'415'!$N$73,'415'!$N$75,'415'!$N$82,'415'!$N$85,'415'!$N$87</definedName>
    <definedName name="OSRRefE20x_0" localSheetId="81">'418'!$N$22,'418'!$N$31,'418'!$N$42,'418'!$N$44,'418'!$N$46,'418'!$N$49,'418'!$N$51,'418'!$N$53,'418'!$N$55,'418'!$N$58,'418'!$N$61,'418'!$N$63,'418'!$N$70,'418'!$N$73</definedName>
    <definedName name="OSRRefE20x_0" localSheetId="82">'420'!$N$20,'420'!$N$22</definedName>
    <definedName name="OSRRefE20x_0" localSheetId="83">'423'!$N$18,'423'!$N$27,'423'!$N$38,'423'!$N$40,'423'!$N$43,'423'!$N$45,'423'!$N$47</definedName>
    <definedName name="OSRRefE20x_0" localSheetId="84">'424'!$N$18,'424'!$N$20,'424'!$N$22,'424'!$N$24</definedName>
    <definedName name="OSRRefE20x_0" localSheetId="85">'425'!$N$19,'425'!$N$25,'425'!$N$27,'425'!$N$29,'425'!$N$31,'425'!$N$34</definedName>
    <definedName name="OSRRefE20x_0" localSheetId="88">'430'!$N$18,'430'!$N$28,'430'!$N$39,'430'!$N$41,'430'!$N$43,'430'!$N$47,'430'!$N$50,'430'!$N$52</definedName>
    <definedName name="OSRRefE20x_0" localSheetId="89">'433'!$N$25,'433'!$N$36,'433'!$N$47,'433'!$N$49,'433'!$N$51,'433'!$N$53,'433'!$N$55,'433'!$N$57,'433'!$N$59,'433'!$N$61,'433'!$N$63,'433'!$N$65,'433'!$N$68,'433'!$N$73,'433'!$N$81,'433'!$N$83</definedName>
    <definedName name="OSRRefE20x_0" localSheetId="90">'435'!$N$18</definedName>
    <definedName name="OSRRefE20x_0" localSheetId="91">'444'!$N$25,'444'!$N$36,'444'!$N$47,'444'!$N$49,'444'!$N$51,'444'!$N$53,'444'!$N$55,'444'!$N$57,'444'!$N$59,'444'!$N$61,'444'!$N$63,'444'!$N$65,'444'!$N$68,'444'!$N$73,'444'!$N$75,'444'!$N$84,'444'!$N$87,'444'!$N$89</definedName>
    <definedName name="OSRRefE20x_0" localSheetId="92">'450'!$N$21,'450'!$N$32,'450'!$N$43,'450'!$N$45,'450'!$N$47,'450'!$N$49,'450'!$N$51,'450'!$N$53,'450'!$N$55,'450'!$N$57,'450'!$N$59,'450'!$N$61,'450'!$N$63,'450'!$N$65,'450'!$N$69,'450'!$N$75,'450'!$N$78</definedName>
    <definedName name="OSRRefE20x_0" localSheetId="73">'491'!$N$28,'491'!$N$38,'491'!$N$49,'491'!$N$51,'491'!$N$53,'491'!$N$55,'491'!$N$59,'491'!$N$61,'491'!$N$63,'491'!$N$65,'491'!$N$67,'491'!$N$69,'491'!$N$71,'491'!$N$73,'491'!$N$75,'491'!$N$80,'491'!$N$83,'491'!$N$89,'491'!$N$91,'491'!$N$102,'491'!$N$105,'491'!$N$107,'491'!$N$109</definedName>
    <definedName name="OSRRefE20x_0" localSheetId="87">'492'!$N$25,'492'!$N$36,'492'!$N$47,'492'!$N$49,'492'!$N$51,'492'!$N$53,'492'!$N$55,'492'!$N$57,'492'!$N$59,'492'!$N$61,'492'!$N$63,'492'!$N$65,'492'!$N$67,'492'!$N$71,'492'!$N$76,'492'!$N$78,'492'!$N$89,'492'!$N$92,'492'!$N$94</definedName>
    <definedName name="OSRRefE20x_0" localSheetId="94">'501'!$N$20,'501'!$N$31,'501'!$N$42,'501'!$N$44,'501'!$N$46,'501'!$N$48,'501'!$N$51,'501'!$N$53,'501'!$N$55,'501'!$N$57,'501'!$N$61,'501'!$N$64</definedName>
    <definedName name="OSRRefE20x_0" localSheetId="39">'Div 2'!$N$18,'Div 2'!$N$30,'Div 2'!$N$41,'Div 2'!$N$43,'Div 2'!$N$45,'Div 2'!$N$47,'Div 2'!$N$49,'Div 2'!$N$51,'Div 2'!$N$53,'Div 2'!$N$55,'Div 2'!$N$58,'Div 2'!$N$60,'Div 2'!$N$62,'Div 2'!$N$67,'Div 2'!$N$72,'Div 2'!$N$75,'Div 2'!$N$78,'Div 2'!$N$83,'Div 2'!$N$86,'Div 2'!$N$88</definedName>
    <definedName name="OSRRefE20x_0" localSheetId="47">'Div 3'!$N$126,'Div 3'!$N$137,'Div 3'!$N$148,'Div 3'!$N$150,'Div 3'!$N$153,'Div 3'!$N$155,'Div 3'!$N$158,'Div 3'!$N$161,'Div 3'!$N$163,'Div 3'!$N$165,'Div 3'!$N$167,'Div 3'!$N$170,'Div 3'!$N$173,'Div 3'!$N$175,'Div 3'!$N$177,'Div 3'!$N$180,'Div 3'!$N$182,'Div 3'!$N$184,'Div 3'!$N$189,'Div 3'!$N$194,'Div 3'!$N$199,'Div 3'!$N$202,'Div 3'!$N$212,'Div 3'!$N$215,'Div 3'!$N$217,'Div 3'!$N$221</definedName>
    <definedName name="OSRRefE20x_0" localSheetId="71">'Div 4'!$N$30,'Div 4'!$N$41,'Div 4'!$N$52,'Div 4'!$N$54,'Div 4'!$N$56,'Div 4'!$N$58,'Div 4'!$N$62,'Div 4'!$N$64,'Div 4'!$N$66,'Div 4'!$N$68,'Div 4'!$N$70,'Div 4'!$N$72,'Div 4'!$N$74,'Div 4'!$N$76,'Div 4'!$N$78,'Div 4'!$N$80,'Div 4'!$N$85,'Div 4'!$N$88,'Div 4'!$N$94,'Div 4'!$N$97,'Div 4'!$N$109,'Div 4'!$N$112,'Div 4'!$N$114,'Div 4'!$N$118</definedName>
    <definedName name="OSRRefE20x_0" localSheetId="93">'Div 5'!$N$20,'Div 5'!$N$31,'Div 5'!$N$42,'Div 5'!$N$44,'Div 5'!$N$46,'Div 5'!$N$48,'Div 5'!$N$51,'Div 5'!$N$53,'Div 5'!$N$55,'Div 5'!$N$57,'Div 5'!$N$61,'Div 5'!$N$64</definedName>
    <definedName name="OSRRefE20x_0" localSheetId="62">'Div 6'!$N$51,'Div 6'!$N$62,'Div 6'!$N$73,'Div 6'!$N$75,'Div 6'!$N$77,'Div 6'!$N$79,'Div 6'!$N$81,'Div 6'!$N$84,'Div 6'!$N$86,'Div 6'!$N$88,'Div 6'!$N$91,'Div 6'!$N$93,'Div 6'!$N$98,'Div 6'!$N$100</definedName>
    <definedName name="OSRRefE20x_0" localSheetId="2">Summary!$N$156,Summary!$N$167,Summary!$N$178,Summary!$N$180,Summary!$N$183,Summary!$N$185,Summary!$N$189,Summary!$N$192,Summary!$N$194,Summary!$N$196,Summary!$N$198,Summary!$N$201,Summary!$N$204,Summary!$N$206,Summary!$N$208,Summary!$N$211,Summary!$N$213,Summary!$N$215,Summary!$N$217,Summary!$N$222,Summary!$N$227,Summary!$N$233,Summary!$N$236,Summary!$N$248,Summary!$N$251,Summary!$N$253,Summary!$N$257</definedName>
    <definedName name="OSRRefE20x_1" localSheetId="40">'200'!$O$18,'200'!$O$20,'200'!$O$22,'200'!$O$24</definedName>
    <definedName name="OSRRefE20x_1" localSheetId="41">'201'!$O$18,'201'!$O$28,'201'!$O$39,'201'!$O$41,'201'!$O$43,'201'!$O$45,'201'!$O$47,'201'!$O$49,'201'!$O$51,'201'!$O$53,'201'!$O$55,'201'!$O$58,'201'!$O$61,'201'!$O$63,'201'!$O$67,'201'!$O$69</definedName>
    <definedName name="OSRRefE20x_1" localSheetId="42">'202'!$O$18,'202'!$O$28,'202'!$O$39,'202'!$O$41,'202'!$O$43,'202'!$O$46,'202'!$O$48,'202'!$O$50,'202'!$O$54,'202'!$O$56,'202'!$O$59,'202'!$O$61,'202'!$O$63</definedName>
    <definedName name="OSRRefE20x_1" localSheetId="43">'203'!$O$18,'203'!$O$29,'203'!$O$40,'203'!$O$42,'203'!$O$44,'203'!$O$46,'203'!$O$48,'203'!$O$50,'203'!$O$52,'203'!$O$56,'203'!$O$59,'203'!$O$61,'203'!$O$65,'203'!$O$67,'203'!$O$69</definedName>
    <definedName name="OSRRefE20x_1" localSheetId="44">'204'!$O$18,'204'!$O$29,'204'!$O$40,'204'!$O$42,'204'!$O$44,'204'!$O$46,'204'!$O$50,'204'!$O$52,'204'!$O$54,'204'!$O$57,'204'!$O$59</definedName>
    <definedName name="OSRRefE20x_1" localSheetId="45">'205'!$O$18,'205'!$O$28,'205'!$O$39,'205'!$O$41,'205'!$O$43,'205'!$O$46,'205'!$O$48,'205'!$O$51</definedName>
    <definedName name="OSRRefE20x_1" localSheetId="46">'206'!$O$18,'206'!$O$28,'206'!$O$39,'206'!$O$41,'206'!$O$43,'206'!$O$45,'206'!$O$47</definedName>
    <definedName name="OSRRefE20x_1" localSheetId="48">'300'!$O$122,'300'!$O$133,'300'!$O$144,'300'!$O$146,'300'!$O$149,'300'!$O$151,'300'!$O$154,'300'!$O$157,'300'!$O$159,'300'!$O$161,'300'!$O$163,'300'!$O$166,'300'!$O$169,'300'!$O$171,'300'!$O$174,'300'!$O$176,'300'!$O$178,'300'!$O$183,'300'!$O$188,'300'!$O$193,'300'!$O$196,'300'!$O$206,'300'!$O$209,'300'!$O$211,'300'!$O$215</definedName>
    <definedName name="OSRRefE20x_1" localSheetId="49">'300 &amp; 317'!$O$146,'300 &amp; 317'!$O$157,'300 &amp; 317'!$O$168,'300 &amp; 317'!$O$170,'300 &amp; 317'!$O$173,'300 &amp; 317'!$O$175,'300 &amp; 317'!$O$178,'300 &amp; 317'!$O$181,'300 &amp; 317'!$O$183,'300 &amp; 317'!$O$185,'300 &amp; 317'!$O$187,'300 &amp; 317'!$O$190,'300 &amp; 317'!$O$193,'300 &amp; 317'!$O$195,'300 &amp; 317'!$O$198,'300 &amp; 317'!$O$200,'300 &amp; 317'!$O$202,'300 &amp; 317'!$O$207,'300 &amp; 317'!$O$212,'300 &amp; 317'!$O$217,'300 &amp; 317'!$O$220,'300 &amp; 317'!$O$230,'300 &amp; 317'!$O$233,'300 &amp; 317'!$O$235,'300 &amp; 317'!$O$239</definedName>
    <definedName name="OSRRefE20x_1" localSheetId="50">'301'!$O$19,'301'!$O$30,'301'!$O$41,'301'!$O$43,'301'!$O$46,'301'!$O$48,'301'!$O$51,'301'!$O$53,'301'!$O$55,'301'!$O$57,'301'!$O$59,'301'!$O$61,'301'!$O$63,'301'!$O$65,'301'!$O$67,'301'!$O$69,'301'!$O$74,'301'!$O$78,'301'!$O$80,'301'!$O$88,'301'!$O$90,'301'!$O$92,'301'!$O$95</definedName>
    <definedName name="OSRRefE20x_1" localSheetId="51">'306'!$O$18,'306'!$O$28,'306'!$O$39,'306'!$O$41,'306'!$O$43,'306'!$O$45,'306'!$O$47,'306'!$O$49,'306'!$O$51</definedName>
    <definedName name="OSRRefE20x_1" localSheetId="53">'307'!$O$37,'307'!$O$46,'307'!$O$57,'307'!$O$59,'307'!$O$61,'307'!$O$63,'307'!$O$66,'307'!$O$69,'307'!$O$71,'307'!$O$74,'307'!$O$77,'307'!$O$81,'307'!$O$84</definedName>
    <definedName name="OSRRefE20x_1" localSheetId="54">'308'!$O$57,'308'!$O$68,'308'!$O$79,'308'!$O$81,'308'!$O$84,'308'!$O$86,'308'!$O$88,'308'!$O$91,'308'!$O$94,'308'!$O$96,'308'!$O$100,'308'!$O$103,'308'!$O$107,'308'!$O$110</definedName>
    <definedName name="OSRRefE20x_1" localSheetId="65">'309'!$O$20,'309'!$O$29,'309'!$O$40,'309'!$O$42,'309'!$O$44,'309'!$O$46,'309'!$O$48,'309'!$O$50,'309'!$O$53,'309'!$O$56,'309'!$O$59</definedName>
    <definedName name="OSRRefE20x_1" localSheetId="64">'310'!$O$28,'310'!$O$38,'310'!$O$49,'310'!$O$51,'310'!$O$53,'310'!$O$55,'310'!$O$58,'310'!$O$60,'310'!$O$62,'310'!$O$64,'310'!$O$66,'310'!$O$68,'310'!$O$70,'310'!$O$73,'310'!$O$75,'310'!$O$79,'310'!$O$86,'310'!$O$89</definedName>
    <definedName name="OSRRefE20x_1" localSheetId="72">'310 &amp; 491'!$O$34,'310 &amp; 491'!$O$44,'310 &amp; 491'!$O$55,'310 &amp; 491'!$O$57,'310 &amp; 491'!$O$59,'310 &amp; 491'!$O$61,'310 &amp; 491'!$O$65,'310 &amp; 491'!$O$67,'310 &amp; 491'!$O$69,'310 &amp; 491'!$O$72,'310 &amp; 491'!$O$74,'310 &amp; 491'!$O$76,'310 &amp; 491'!$O$78,'310 &amp; 491'!$O$80,'310 &amp; 491'!$O$82,'310 &amp; 491'!$O$87,'310 &amp; 491'!$O$90,'310 &amp; 491'!$O$96,'310 &amp; 491'!$O$98,'310 &amp; 491'!$O$109,'310 &amp; 491'!$O$112,'310 &amp; 491'!$O$114,'310 &amp; 491'!$O$116</definedName>
    <definedName name="OSRRefE20x_1" localSheetId="55">'311'!$O$56,'311'!$O$67,'311'!$O$78,'311'!$O$80,'311'!$O$83,'311'!$O$85,'311'!$O$87,'311'!$O$90,'311'!$O$93,'311'!$O$95,'311'!$O$99,'311'!$O$102,'311'!$O$106,'311'!$O$109</definedName>
    <definedName name="OSRRefE20x_1" localSheetId="66">'313'!$O$23,'313'!$O$33,'313'!$O$44,'313'!$O$46,'313'!$O$48,'313'!$O$50,'313'!$O$52</definedName>
    <definedName name="OSRRefE20x_1" localSheetId="58">'315'!$O$79,'315'!$O$89,'315'!$O$100,'315'!$O$102,'315'!$O$104,'315'!$O$106,'315'!$O$109,'315'!$O$111,'315'!$O$114,'315'!$O$116,'315'!$O$119,'315'!$O$121,'315'!$O$123,'315'!$O$127,'315'!$O$130,'315'!$O$138,'315'!$O$140</definedName>
    <definedName name="OSRRefE20x_1" localSheetId="61">'316'!$O$30,'316'!$O$40,'316'!$O$51,'316'!$O$53,'316'!$O$55,'316'!$O$57,'316'!$O$59,'316'!$O$62,'316'!$O$66,'316'!$O$68,'316'!$O$74,'316'!$O$76</definedName>
    <definedName name="OSRRefE20x_1" localSheetId="63">'317'!$O$51,'317'!$O$62,'317'!$O$73,'317'!$O$75,'317'!$O$77,'317'!$O$79,'317'!$O$81,'317'!$O$84,'317'!$O$86,'317'!$O$88,'317'!$O$91,'317'!$O$93,'317'!$O$98,'317'!$O$100</definedName>
    <definedName name="OSRRefE20x_1" localSheetId="67">'321'!$O$22,'321'!$O$32,'321'!$O$43,'321'!$O$45,'321'!$O$47,'321'!$O$49,'321'!$O$51,'321'!$O$54,'321'!$O$56,'321'!$O$59,'321'!$O$62,'321'!$O$65</definedName>
    <definedName name="OSRRefE20x_1" localSheetId="68">'322'!$O$21,'322'!$O$30,'322'!$O$41,'322'!$O$43,'322'!$O$45,'322'!$O$47,'322'!$O$49,'322'!$O$52,'322'!$O$55,'322'!$O$59,'322'!$O$61</definedName>
    <definedName name="OSRRefE20x_1" localSheetId="56">'324'!$O$25,'324'!$O$34</definedName>
    <definedName name="OSRRefE20x_1" localSheetId="69">'325'!$O$20,'325'!$O$29,'325'!$O$40,'325'!$O$42,'325'!$O$44,'325'!$O$46,'325'!$O$49,'325'!$O$51,'325'!$O$53,'325'!$O$55,'325'!$O$57,'325'!$O$60,'325'!$O$63,'325'!$O$69,'325'!$O$72</definedName>
    <definedName name="OSRRefE20x_1" localSheetId="59">'326'!$O$46,'326'!$O$56,'326'!$O$67,'326'!$O$69,'326'!$O$71,'326'!$O$73,'326'!$O$75,'326'!$O$77,'326'!$O$79,'326'!$O$81,'326'!$O$83,'326'!$O$85,'326'!$O$87,'326'!$O$91,'326'!$O$95,'326'!$O$98,'326'!$O$105,'326'!$O$108,'326'!$O$110,'326'!$O$113</definedName>
    <definedName name="OSRRefE20x_1" localSheetId="70">'327'!$O$22,'327'!$O$24</definedName>
    <definedName name="OSRRefE20x_1" localSheetId="52">'330'!$O$40,'330'!$O$50,'330'!$O$61,'330'!$O$63,'330'!$O$65,'330'!$O$67,'330'!$O$70,'330'!$O$73,'330'!$O$75,'330'!$O$78,'330'!$O$81,'330'!$O$85,'330'!$O$88</definedName>
    <definedName name="OSRRefE20x_1" localSheetId="57">'331'!$O$80,'331'!$O$90,'331'!$O$101,'331'!$O$103,'331'!$O$105,'331'!$O$107,'331'!$O$110,'331'!$O$112,'331'!$O$115,'331'!$O$117,'331'!$O$119,'331'!$O$122,'331'!$O$124,'331'!$O$126,'331'!$O$130,'331'!$O$134,'331'!$O$138,'331'!$O$141,'331'!$O$150,'331'!$O$153,'331'!$O$155,'331'!$O$158</definedName>
    <definedName name="OSRRefE20x_1" localSheetId="60">'332'!$O$32,'332'!$O$42,'332'!$O$53,'332'!$O$55,'332'!$O$57,'332'!$O$59,'332'!$O$61,'332'!$O$64,'332'!$O$68,'332'!$O$70,'332'!$O$76,'332'!$O$78</definedName>
    <definedName name="OSRRefE20x_1" localSheetId="74">'405'!$O$22,'405'!$O$31,'405'!$O$42,'405'!$O$44,'405'!$O$46,'405'!$O$49,'405'!$O$51,'405'!$O$53,'405'!$O$55,'405'!$O$57,'405'!$O$60,'405'!$O$62,'405'!$O$67,'405'!$O$69,'405'!$O$78,'405'!$O$80</definedName>
    <definedName name="OSRRefE20x_1" localSheetId="75">'406'!$O$18,'406'!$O$20,'406'!$O$22,'406'!$O$24,'406'!$O$26</definedName>
    <definedName name="OSRRefE20x_1" localSheetId="76">'411'!$O$18,'411'!$O$28,'411'!$O$39,'411'!$O$41,'411'!$O$43,'411'!$O$46,'411'!$O$48,'411'!$O$50,'411'!$O$52,'411'!$O$54,'411'!$O$59,'411'!$O$64,'411'!$O$66,'411'!$O$73,'411'!$O$75,'411'!$O$77</definedName>
    <definedName name="OSRRefE20x_1" localSheetId="77">'412'!$O$20,'412'!$O$29,'412'!$O$40,'412'!$O$42,'412'!$O$44,'412'!$O$47,'412'!$O$49,'412'!$O$51,'412'!$O$53,'412'!$O$56,'412'!$O$58,'412'!$O$63,'412'!$O$68,'412'!$O$71</definedName>
    <definedName name="OSRRefE20x_1" localSheetId="78">'413'!$O$21,'413'!$O$31,'413'!$O$42,'413'!$O$44,'413'!$O$46,'413'!$O$48,'413'!$O$50,'413'!$O$53,'413'!$O$56,'413'!$O$59</definedName>
    <definedName name="OSRRefE20x_1" localSheetId="79">'414'!$O$23,'414'!$O$33,'414'!$O$44,'414'!$O$46,'414'!$O$48,'414'!$O$50,'414'!$O$52,'414'!$O$54,'414'!$O$56,'414'!$O$59,'414'!$O$61,'414'!$O$63,'414'!$O$65,'414'!$O$69</definedName>
    <definedName name="OSRRefE20x_1" localSheetId="80">'415'!$O$25,'415'!$O$35,'415'!$O$46,'415'!$O$48,'415'!$O$50,'415'!$O$52,'415'!$O$55,'415'!$O$57,'415'!$O$59,'415'!$O$61,'415'!$O$63,'415'!$O$65,'415'!$O$68,'415'!$O$73,'415'!$O$75,'415'!$O$82,'415'!$O$85,'415'!$O$87</definedName>
    <definedName name="OSRRefE20x_1" localSheetId="81">'418'!$O$22,'418'!$O$31,'418'!$O$42,'418'!$O$44,'418'!$O$46,'418'!$O$49,'418'!$O$51,'418'!$O$53,'418'!$O$55,'418'!$O$58,'418'!$O$61,'418'!$O$63,'418'!$O$70,'418'!$O$73</definedName>
    <definedName name="OSRRefE20x_1" localSheetId="82">'420'!$O$20,'420'!$O$22</definedName>
    <definedName name="OSRRefE20x_1" localSheetId="83">'423'!$O$18,'423'!$O$27,'423'!$O$38,'423'!$O$40,'423'!$O$43,'423'!$O$45,'423'!$O$47</definedName>
    <definedName name="OSRRefE20x_1" localSheetId="84">'424'!$O$18,'424'!$O$20,'424'!$O$22,'424'!$O$24</definedName>
    <definedName name="OSRRefE20x_1" localSheetId="85">'425'!$O$19,'425'!$O$25,'425'!$O$27,'425'!$O$29,'425'!$O$31,'425'!$O$34</definedName>
    <definedName name="OSRRefE20x_1" localSheetId="88">'430'!$O$18,'430'!$O$28,'430'!$O$39,'430'!$O$41,'430'!$O$43,'430'!$O$47,'430'!$O$50,'430'!$O$52</definedName>
    <definedName name="OSRRefE20x_1" localSheetId="89">'433'!$O$25,'433'!$O$36,'433'!$O$47,'433'!$O$49,'433'!$O$51,'433'!$O$53,'433'!$O$55,'433'!$O$57,'433'!$O$59,'433'!$O$61,'433'!$O$63,'433'!$O$65,'433'!$O$68,'433'!$O$73,'433'!$O$81,'433'!$O$83</definedName>
    <definedName name="OSRRefE20x_1" localSheetId="90">'435'!$O$18</definedName>
    <definedName name="OSRRefE20x_1" localSheetId="91">'444'!$O$25,'444'!$O$36,'444'!$O$47,'444'!$O$49,'444'!$O$51,'444'!$O$53,'444'!$O$55,'444'!$O$57,'444'!$O$59,'444'!$O$61,'444'!$O$63,'444'!$O$65,'444'!$O$68,'444'!$O$73,'444'!$O$75,'444'!$O$84,'444'!$O$87,'444'!$O$89</definedName>
    <definedName name="OSRRefE20x_1" localSheetId="92">'450'!$O$21,'450'!$O$32,'450'!$O$43,'450'!$O$45,'450'!$O$47,'450'!$O$49,'450'!$O$51,'450'!$O$53,'450'!$O$55,'450'!$O$57,'450'!$O$59,'450'!$O$61,'450'!$O$63,'450'!$O$65,'450'!$O$69,'450'!$O$75,'450'!$O$78</definedName>
    <definedName name="OSRRefE20x_1" localSheetId="73">'491'!$O$28,'491'!$O$38,'491'!$O$49,'491'!$O$51,'491'!$O$53,'491'!$O$55,'491'!$O$59,'491'!$O$61,'491'!$O$63,'491'!$O$65,'491'!$O$67,'491'!$O$69,'491'!$O$71,'491'!$O$73,'491'!$O$75,'491'!$O$80,'491'!$O$83,'491'!$O$89,'491'!$O$91,'491'!$O$102,'491'!$O$105,'491'!$O$107,'491'!$O$109</definedName>
    <definedName name="OSRRefE20x_1" localSheetId="87">'492'!$O$25,'492'!$O$36,'492'!$O$47,'492'!$O$49,'492'!$O$51,'492'!$O$53,'492'!$O$55,'492'!$O$57,'492'!$O$59,'492'!$O$61,'492'!$O$63,'492'!$O$65,'492'!$O$67,'492'!$O$71,'492'!$O$76,'492'!$O$78,'492'!$O$89,'492'!$O$92,'492'!$O$94</definedName>
    <definedName name="OSRRefE20x_1" localSheetId="94">'501'!$O$20,'501'!$O$31,'501'!$O$42,'501'!$O$44,'501'!$O$46,'501'!$O$48,'501'!$O$51,'501'!$O$53,'501'!$O$55,'501'!$O$57,'501'!$O$61,'501'!$O$64</definedName>
    <definedName name="OSRRefE20x_1" localSheetId="39">'Div 2'!$O$18,'Div 2'!$O$30,'Div 2'!$O$41,'Div 2'!$O$43,'Div 2'!$O$45,'Div 2'!$O$47,'Div 2'!$O$49,'Div 2'!$O$51,'Div 2'!$O$53,'Div 2'!$O$55,'Div 2'!$O$58,'Div 2'!$O$60,'Div 2'!$O$62,'Div 2'!$O$67,'Div 2'!$O$72,'Div 2'!$O$75,'Div 2'!$O$78,'Div 2'!$O$83,'Div 2'!$O$86,'Div 2'!$O$88</definedName>
    <definedName name="OSRRefE20x_1" localSheetId="47">'Div 3'!$O$126,'Div 3'!$O$137,'Div 3'!$O$148,'Div 3'!$O$150,'Div 3'!$O$153,'Div 3'!$O$155,'Div 3'!$O$158,'Div 3'!$O$161,'Div 3'!$O$163,'Div 3'!$O$165,'Div 3'!$O$167,'Div 3'!$O$170,'Div 3'!$O$173,'Div 3'!$O$175,'Div 3'!$O$177,'Div 3'!$O$180,'Div 3'!$O$182,'Div 3'!$O$184,'Div 3'!$O$189,'Div 3'!$O$194,'Div 3'!$O$199,'Div 3'!$O$202,'Div 3'!$O$212,'Div 3'!$O$215,'Div 3'!$O$217,'Div 3'!$O$221</definedName>
    <definedName name="OSRRefE20x_1" localSheetId="71">'Div 4'!$O$30,'Div 4'!$O$41,'Div 4'!$O$52,'Div 4'!$O$54,'Div 4'!$O$56,'Div 4'!$O$58,'Div 4'!$O$62,'Div 4'!$O$64,'Div 4'!$O$66,'Div 4'!$O$68,'Div 4'!$O$70,'Div 4'!$O$72,'Div 4'!$O$74,'Div 4'!$O$76,'Div 4'!$O$78,'Div 4'!$O$80,'Div 4'!$O$85,'Div 4'!$O$88,'Div 4'!$O$94,'Div 4'!$O$97,'Div 4'!$O$109,'Div 4'!$O$112,'Div 4'!$O$114,'Div 4'!$O$118</definedName>
    <definedName name="OSRRefE20x_1" localSheetId="93">'Div 5'!$O$20,'Div 5'!$O$31,'Div 5'!$O$42,'Div 5'!$O$44,'Div 5'!$O$46,'Div 5'!$O$48,'Div 5'!$O$51,'Div 5'!$O$53,'Div 5'!$O$55,'Div 5'!$O$57,'Div 5'!$O$61,'Div 5'!$O$64</definedName>
    <definedName name="OSRRefE20x_1" localSheetId="62">'Div 6'!$O$51,'Div 6'!$O$62,'Div 6'!$O$73,'Div 6'!$O$75,'Div 6'!$O$77,'Div 6'!$O$79,'Div 6'!$O$81,'Div 6'!$O$84,'Div 6'!$O$86,'Div 6'!$O$88,'Div 6'!$O$91,'Div 6'!$O$93,'Div 6'!$O$98,'Div 6'!$O$100</definedName>
    <definedName name="OSRRefE20x_1" localSheetId="2">Summary!$O$156,Summary!$O$167,Summary!$O$178,Summary!$O$180,Summary!$O$183,Summary!$O$185,Summary!$O$189,Summary!$O$192,Summary!$O$194,Summary!$O$196,Summary!$O$198,Summary!$O$201,Summary!$O$204,Summary!$O$206,Summary!$O$208,Summary!$O$211,Summary!$O$213,Summary!$O$215,Summary!$O$217,Summary!$O$222,Summary!$O$227,Summary!$O$233,Summary!$O$236,Summary!$O$248,Summary!$O$251,Summary!$O$253,Summary!$O$257</definedName>
    <definedName name="OSRRefE21_0_0x" localSheetId="40">'200'!$N$19:$O$19</definedName>
    <definedName name="OSRRefE21_0_0x" localSheetId="41">'201'!$N$19:$O$19</definedName>
    <definedName name="OSRRefE21_0_0x" localSheetId="42">'202'!$N$19:$O$19</definedName>
    <definedName name="OSRRefE21_0_0x" localSheetId="43">'203'!$N$19:$O$19</definedName>
    <definedName name="OSRRefE21_0_0x" localSheetId="44">'204'!$N$19:$O$19</definedName>
    <definedName name="OSRRefE21_0_0x" localSheetId="45">'205'!$N$19:$O$19</definedName>
    <definedName name="OSRRefE21_0_0x" localSheetId="46">'206'!$N$19:$O$19</definedName>
    <definedName name="OSRRefE21_0_0x" localSheetId="48">'300'!$N$123:$O$123</definedName>
    <definedName name="OSRRefE21_0_0x" localSheetId="49">'300 &amp; 317'!$N$147:$O$147</definedName>
    <definedName name="OSRRefE21_0_0x" localSheetId="50">'301'!$N$20:$O$20</definedName>
    <definedName name="OSRRefE21_0_0x" localSheetId="51">'306'!$N$19:$O$19</definedName>
    <definedName name="OSRRefE21_0_0x" localSheetId="53">'307'!$N$38:$O$38</definedName>
    <definedName name="OSRRefE21_0_0x" localSheetId="54">'308'!$N$58:$O$58</definedName>
    <definedName name="OSRRefE21_0_0x" localSheetId="65">'309'!$N$21:$O$21</definedName>
    <definedName name="OSRRefE21_0_0x" localSheetId="64">'310'!$N$29:$O$29</definedName>
    <definedName name="OSRRefE21_0_0x" localSheetId="72">'310 &amp; 491'!$N$35:$O$35</definedName>
    <definedName name="OSRRefE21_0_0x" localSheetId="55">'311'!$N$57:$O$57</definedName>
    <definedName name="OSRRefE21_0_0x" localSheetId="66">'313'!$N$24:$O$24</definedName>
    <definedName name="OSRRefE21_0_0x" localSheetId="58">'315'!$N$80:$O$80</definedName>
    <definedName name="OSRRefE21_0_0x" localSheetId="61">'316'!$N$31:$O$31</definedName>
    <definedName name="OSRRefE21_0_0x" localSheetId="63">'317'!$N$52:$O$52</definedName>
    <definedName name="OSRRefE21_0_0x" localSheetId="67">'321'!$N$23:$O$23</definedName>
    <definedName name="OSRRefE21_0_0x" localSheetId="68">'322'!$N$22:$O$22</definedName>
    <definedName name="OSRRefE21_0_0x" localSheetId="56">'324'!$N$26:$O$26</definedName>
    <definedName name="OSRRefE21_0_0x" localSheetId="69">'325'!$N$21:$O$21</definedName>
    <definedName name="OSRRefE21_0_0x" localSheetId="59">'326'!$N$47:$O$47</definedName>
    <definedName name="OSRRefE21_0_0x" localSheetId="70">'327'!$N$23:$O$23</definedName>
    <definedName name="OSRRefE21_0_0x" localSheetId="52">'330'!$N$41:$O$41</definedName>
    <definedName name="OSRRefE21_0_0x" localSheetId="57">'331'!$N$81:$O$81</definedName>
    <definedName name="OSRRefE21_0_0x" localSheetId="60">'332'!$N$33:$O$33</definedName>
    <definedName name="OSRRefE21_0_0x" localSheetId="74">'405'!$N$23:$O$23</definedName>
    <definedName name="OSRRefE21_0_0x" localSheetId="75">'406'!$N$19:$O$19</definedName>
    <definedName name="OSRRefE21_0_0x" localSheetId="76">'411'!$N$19:$O$19</definedName>
    <definedName name="OSRRefE21_0_0x" localSheetId="77">'412'!$N$21:$O$21</definedName>
    <definedName name="OSRRefE21_0_0x" localSheetId="78">'413'!$N$22:$O$22</definedName>
    <definedName name="OSRRefE21_0_0x" localSheetId="79">'414'!$N$24:$O$24</definedName>
    <definedName name="OSRRefE21_0_0x" localSheetId="80">'415'!$N$26:$O$26</definedName>
    <definedName name="OSRRefE21_0_0x" localSheetId="81">'418'!$N$23:$O$23</definedName>
    <definedName name="OSRRefE21_0_0x" localSheetId="82">'420'!$N$21:$O$21</definedName>
    <definedName name="OSRRefE21_0_0x" localSheetId="83">'423'!$N$19:$O$19</definedName>
    <definedName name="OSRRefE21_0_0x" localSheetId="84">'424'!$N$19:$O$19</definedName>
    <definedName name="OSRRefE21_0_0x" localSheetId="85">'425'!$N$20:$O$20</definedName>
    <definedName name="OSRRefE21_0_0x" localSheetId="88">'430'!$N$19:$O$19</definedName>
    <definedName name="OSRRefE21_0_0x" localSheetId="89">'433'!$N$26:$O$26</definedName>
    <definedName name="OSRRefE21_0_0x" localSheetId="90">'435'!$N$19:$O$19</definedName>
    <definedName name="OSRRefE21_0_0x" localSheetId="91">'444'!$N$26:$O$26</definedName>
    <definedName name="OSRRefE21_0_0x" localSheetId="92">'450'!$N$22:$O$22</definedName>
    <definedName name="OSRRefE21_0_0x" localSheetId="73">'491'!$N$29:$O$29</definedName>
    <definedName name="OSRRefE21_0_0x" localSheetId="87">'492'!$N$26:$O$26</definedName>
    <definedName name="OSRRefE21_0_0x" localSheetId="94">'501'!$N$21:$O$21</definedName>
    <definedName name="OSRRefE21_0_0x" localSheetId="39">'Div 2'!$N$19:$O$19</definedName>
    <definedName name="OSRRefE21_0_0x" localSheetId="47">'Div 3'!$N$127:$O$127</definedName>
    <definedName name="OSRRefE21_0_0x" localSheetId="71">'Div 4'!$N$31:$O$31</definedName>
    <definedName name="OSRRefE21_0_0x" localSheetId="93">'Div 5'!$N$21:$O$21</definedName>
    <definedName name="OSRRefE21_0_0x" localSheetId="62">'Div 6'!$N$52:$O$52</definedName>
    <definedName name="OSRRefE21_0_0x" localSheetId="2">Summary!$N$157:$O$157</definedName>
    <definedName name="OSRRefE21_0_10x" localSheetId="39">'Div 2'!$N$29:$O$29</definedName>
    <definedName name="OSRRefE21_0_1x" localSheetId="41">'201'!$N$20:$O$20</definedName>
    <definedName name="OSRRefE21_0_1x" localSheetId="42">'202'!$N$20:$O$20</definedName>
    <definedName name="OSRRefE21_0_1x" localSheetId="43">'203'!$N$20:$O$20</definedName>
    <definedName name="OSRRefE21_0_1x" localSheetId="44">'204'!$N$20:$O$20</definedName>
    <definedName name="OSRRefE21_0_1x" localSheetId="45">'205'!$N$20:$O$20</definedName>
    <definedName name="OSRRefE21_0_1x" localSheetId="46">'206'!$N$20:$O$20</definedName>
    <definedName name="OSRRefE21_0_1x" localSheetId="48">'300'!$N$124:$O$124</definedName>
    <definedName name="OSRRefE21_0_1x" localSheetId="49">'300 &amp; 317'!$N$148:$O$148</definedName>
    <definedName name="OSRRefE21_0_1x" localSheetId="50">'301'!$N$21:$O$21</definedName>
    <definedName name="OSRRefE21_0_1x" localSheetId="51">'306'!$N$20:$O$20</definedName>
    <definedName name="OSRRefE21_0_1x" localSheetId="53">'307'!$N$39:$O$39</definedName>
    <definedName name="OSRRefE21_0_1x" localSheetId="54">'308'!$N$59:$O$59</definedName>
    <definedName name="OSRRefE21_0_1x" localSheetId="65">'309'!$N$22:$O$22</definedName>
    <definedName name="OSRRefE21_0_1x" localSheetId="64">'310'!$N$30:$O$30</definedName>
    <definedName name="OSRRefE21_0_1x" localSheetId="72">'310 &amp; 491'!$N$36:$O$36</definedName>
    <definedName name="OSRRefE21_0_1x" localSheetId="55">'311'!$N$58:$O$58</definedName>
    <definedName name="OSRRefE21_0_1x" localSheetId="66">'313'!$N$25:$O$25</definedName>
    <definedName name="OSRRefE21_0_1x" localSheetId="58">'315'!$N$81:$O$81</definedName>
    <definedName name="OSRRefE21_0_1x" localSheetId="61">'316'!$N$32:$O$32</definedName>
    <definedName name="OSRRefE21_0_1x" localSheetId="63">'317'!$N$53:$O$53</definedName>
    <definedName name="OSRRefE21_0_1x" localSheetId="67">'321'!$N$24:$O$24</definedName>
    <definedName name="OSRRefE21_0_1x" localSheetId="68">'322'!$N$23:$O$23</definedName>
    <definedName name="OSRRefE21_0_1x" localSheetId="56">'324'!$N$27:$O$27</definedName>
    <definedName name="OSRRefE21_0_1x" localSheetId="69">'325'!$N$22:$O$22</definedName>
    <definedName name="OSRRefE21_0_1x" localSheetId="59">'326'!$N$48:$O$48</definedName>
    <definedName name="OSRRefE21_0_1x" localSheetId="52">'330'!$N$42:$O$42</definedName>
    <definedName name="OSRRefE21_0_1x" localSheetId="57">'331'!$N$82:$O$82</definedName>
    <definedName name="OSRRefE21_0_1x" localSheetId="60">'332'!$N$34:$O$34</definedName>
    <definedName name="OSRRefE21_0_1x" localSheetId="74">'405'!$N$24:$O$24</definedName>
    <definedName name="OSRRefE21_0_1x" localSheetId="76">'411'!$N$20:$O$20</definedName>
    <definedName name="OSRRefE21_0_1x" localSheetId="77">'412'!$N$22:$O$22</definedName>
    <definedName name="OSRRefE21_0_1x" localSheetId="78">'413'!$N$23:$O$23</definedName>
    <definedName name="OSRRefE21_0_1x" localSheetId="79">'414'!$N$25:$O$25</definedName>
    <definedName name="OSRRefE21_0_1x" localSheetId="80">'415'!$N$27:$O$27</definedName>
    <definedName name="OSRRefE21_0_1x" localSheetId="81">'418'!$N$24:$O$24</definedName>
    <definedName name="OSRRefE21_0_1x" localSheetId="83">'423'!$N$20:$O$20</definedName>
    <definedName name="OSRRefE21_0_1x" localSheetId="85">'425'!$N$21:$O$21</definedName>
    <definedName name="OSRRefE21_0_1x" localSheetId="88">'430'!$N$20:$O$20</definedName>
    <definedName name="OSRRefE21_0_1x" localSheetId="89">'433'!$N$27:$O$27</definedName>
    <definedName name="OSRRefE21_0_1x" localSheetId="91">'444'!$N$27:$O$27</definedName>
    <definedName name="OSRRefE21_0_1x" localSheetId="92">'450'!$N$23:$O$23</definedName>
    <definedName name="OSRRefE21_0_1x" localSheetId="73">'491'!$N$30:$O$30</definedName>
    <definedName name="OSRRefE21_0_1x" localSheetId="87">'492'!$N$27:$O$27</definedName>
    <definedName name="OSRRefE21_0_1x" localSheetId="94">'501'!$N$22:$O$22</definedName>
    <definedName name="OSRRefE21_0_1x" localSheetId="39">'Div 2'!$N$20:$O$20</definedName>
    <definedName name="OSRRefE21_0_1x" localSheetId="47">'Div 3'!$N$128:$O$128</definedName>
    <definedName name="OSRRefE21_0_1x" localSheetId="71">'Div 4'!$N$32:$O$32</definedName>
    <definedName name="OSRRefE21_0_1x" localSheetId="93">'Div 5'!$N$22:$O$22</definedName>
    <definedName name="OSRRefE21_0_1x" localSheetId="62">'Div 6'!$N$53:$O$53</definedName>
    <definedName name="OSRRefE21_0_1x" localSheetId="2">Summary!$N$158:$O$158</definedName>
    <definedName name="OSRRefE21_0_2x" localSheetId="41">'201'!$N$21:$O$21</definedName>
    <definedName name="OSRRefE21_0_2x" localSheetId="42">'202'!$N$21:$O$21</definedName>
    <definedName name="OSRRefE21_0_2x" localSheetId="43">'203'!$N$21:$O$21</definedName>
    <definedName name="OSRRefE21_0_2x" localSheetId="44">'204'!$N$21:$O$21</definedName>
    <definedName name="OSRRefE21_0_2x" localSheetId="45">'205'!$N$21:$O$21</definedName>
    <definedName name="OSRRefE21_0_2x" localSheetId="46">'206'!$N$21:$O$21</definedName>
    <definedName name="OSRRefE21_0_2x" localSheetId="48">'300'!$N$125:$O$125</definedName>
    <definedName name="OSRRefE21_0_2x" localSheetId="49">'300 &amp; 317'!$N$149:$O$149</definedName>
    <definedName name="OSRRefE21_0_2x" localSheetId="50">'301'!$N$22:$O$22</definedName>
    <definedName name="OSRRefE21_0_2x" localSheetId="51">'306'!$N$21:$O$21</definedName>
    <definedName name="OSRRefE21_0_2x" localSheetId="53">'307'!$N$40:$O$40</definedName>
    <definedName name="OSRRefE21_0_2x" localSheetId="54">'308'!$N$60:$O$60</definedName>
    <definedName name="OSRRefE21_0_2x" localSheetId="65">'309'!$N$23:$O$23</definedName>
    <definedName name="OSRRefE21_0_2x" localSheetId="64">'310'!$N$31:$O$31</definedName>
    <definedName name="OSRRefE21_0_2x" localSheetId="72">'310 &amp; 491'!$N$37:$O$37</definedName>
    <definedName name="OSRRefE21_0_2x" localSheetId="55">'311'!$N$59:$O$59</definedName>
    <definedName name="OSRRefE21_0_2x" localSheetId="66">'313'!$N$26:$O$26</definedName>
    <definedName name="OSRRefE21_0_2x" localSheetId="58">'315'!$N$82:$O$82</definedName>
    <definedName name="OSRRefE21_0_2x" localSheetId="61">'316'!$N$33:$O$33</definedName>
    <definedName name="OSRRefE21_0_2x" localSheetId="63">'317'!$N$54:$O$54</definedName>
    <definedName name="OSRRefE21_0_2x" localSheetId="67">'321'!$N$25:$O$25</definedName>
    <definedName name="OSRRefE21_0_2x" localSheetId="68">'322'!$N$24:$O$24</definedName>
    <definedName name="OSRRefE21_0_2x" localSheetId="56">'324'!$N$28:$O$28</definedName>
    <definedName name="OSRRefE21_0_2x" localSheetId="69">'325'!$N$23:$O$23</definedName>
    <definedName name="OSRRefE21_0_2x" localSheetId="59">'326'!$N$49:$O$49</definedName>
    <definedName name="OSRRefE21_0_2x" localSheetId="52">'330'!$N$43:$O$43</definedName>
    <definedName name="OSRRefE21_0_2x" localSheetId="57">'331'!$N$83:$O$83</definedName>
    <definedName name="OSRRefE21_0_2x" localSheetId="60">'332'!$N$35:$O$35</definedName>
    <definedName name="OSRRefE21_0_2x" localSheetId="74">'405'!$N$25:$O$25</definedName>
    <definedName name="OSRRefE21_0_2x" localSheetId="76">'411'!$N$21:$O$21</definedName>
    <definedName name="OSRRefE21_0_2x" localSheetId="77">'412'!$N$23:$O$23</definedName>
    <definedName name="OSRRefE21_0_2x" localSheetId="78">'413'!$N$24:$O$24</definedName>
    <definedName name="OSRRefE21_0_2x" localSheetId="79">'414'!$N$26:$O$26</definedName>
    <definedName name="OSRRefE21_0_2x" localSheetId="80">'415'!$N$28:$O$28</definedName>
    <definedName name="OSRRefE21_0_2x" localSheetId="81">'418'!$N$25:$O$25</definedName>
    <definedName name="OSRRefE21_0_2x" localSheetId="83">'423'!$N$21:$O$21</definedName>
    <definedName name="OSRRefE21_0_2x" localSheetId="85">'425'!$N$22:$O$22</definedName>
    <definedName name="OSRRefE21_0_2x" localSheetId="88">'430'!$N$21:$O$21</definedName>
    <definedName name="OSRRefE21_0_2x" localSheetId="89">'433'!$N$28:$O$28</definedName>
    <definedName name="OSRRefE21_0_2x" localSheetId="91">'444'!$N$28:$O$28</definedName>
    <definedName name="OSRRefE21_0_2x" localSheetId="92">'450'!$N$24:$O$24</definedName>
    <definedName name="OSRRefE21_0_2x" localSheetId="73">'491'!$N$31:$O$31</definedName>
    <definedName name="OSRRefE21_0_2x" localSheetId="87">'492'!$N$28:$O$28</definedName>
    <definedName name="OSRRefE21_0_2x" localSheetId="94">'501'!$N$23:$O$23</definedName>
    <definedName name="OSRRefE21_0_2x" localSheetId="39">'Div 2'!$N$21:$O$21</definedName>
    <definedName name="OSRRefE21_0_2x" localSheetId="47">'Div 3'!$N$129:$O$129</definedName>
    <definedName name="OSRRefE21_0_2x" localSheetId="71">'Div 4'!$N$33:$O$33</definedName>
    <definedName name="OSRRefE21_0_2x" localSheetId="93">'Div 5'!$N$23:$O$23</definedName>
    <definedName name="OSRRefE21_0_2x" localSheetId="62">'Div 6'!$N$54:$O$54</definedName>
    <definedName name="OSRRefE21_0_2x" localSheetId="2">Summary!$N$159:$O$159</definedName>
    <definedName name="OSRRefE21_0_3x" localSheetId="41">'201'!$N$22:$O$22</definedName>
    <definedName name="OSRRefE21_0_3x" localSheetId="42">'202'!$N$22:$O$22</definedName>
    <definedName name="OSRRefE21_0_3x" localSheetId="43">'203'!$N$22:$O$22</definedName>
    <definedName name="OSRRefE21_0_3x" localSheetId="44">'204'!$N$22:$O$22</definedName>
    <definedName name="OSRRefE21_0_3x" localSheetId="45">'205'!$N$22:$O$22</definedName>
    <definedName name="OSRRefE21_0_3x" localSheetId="46">'206'!$N$22:$O$22</definedName>
    <definedName name="OSRRefE21_0_3x" localSheetId="48">'300'!$N$126:$O$126</definedName>
    <definedName name="OSRRefE21_0_3x" localSheetId="49">'300 &amp; 317'!$N$150:$O$150</definedName>
    <definedName name="OSRRefE21_0_3x" localSheetId="50">'301'!$N$23:$O$23</definedName>
    <definedName name="OSRRefE21_0_3x" localSheetId="51">'306'!$N$22:$O$22</definedName>
    <definedName name="OSRRefE21_0_3x" localSheetId="53">'307'!$N$41:$O$41</definedName>
    <definedName name="OSRRefE21_0_3x" localSheetId="54">'308'!$N$61:$O$61</definedName>
    <definedName name="OSRRefE21_0_3x" localSheetId="65">'309'!$N$24:$O$24</definedName>
    <definedName name="OSRRefE21_0_3x" localSheetId="64">'310'!$N$32:$O$32</definedName>
    <definedName name="OSRRefE21_0_3x" localSheetId="72">'310 &amp; 491'!$N$38:$O$38</definedName>
    <definedName name="OSRRefE21_0_3x" localSheetId="55">'311'!$N$60:$O$60</definedName>
    <definedName name="OSRRefE21_0_3x" localSheetId="66">'313'!$N$27:$O$27</definedName>
    <definedName name="OSRRefE21_0_3x" localSheetId="58">'315'!$N$83:$O$83</definedName>
    <definedName name="OSRRefE21_0_3x" localSheetId="61">'316'!$N$34:$O$34</definedName>
    <definedName name="OSRRefE21_0_3x" localSheetId="63">'317'!$N$55:$O$55</definedName>
    <definedName name="OSRRefE21_0_3x" localSheetId="67">'321'!$N$26:$O$26</definedName>
    <definedName name="OSRRefE21_0_3x" localSheetId="68">'322'!$N$25:$O$25</definedName>
    <definedName name="OSRRefE21_0_3x" localSheetId="56">'324'!$N$29:$O$29</definedName>
    <definedName name="OSRRefE21_0_3x" localSheetId="69">'325'!$N$24:$O$24</definedName>
    <definedName name="OSRRefE21_0_3x" localSheetId="59">'326'!$N$50:$O$50</definedName>
    <definedName name="OSRRefE21_0_3x" localSheetId="52">'330'!$N$44:$O$44</definedName>
    <definedName name="OSRRefE21_0_3x" localSheetId="57">'331'!$N$84:$O$84</definedName>
    <definedName name="OSRRefE21_0_3x" localSheetId="60">'332'!$N$36:$O$36</definedName>
    <definedName name="OSRRefE21_0_3x" localSheetId="74">'405'!$N$26:$O$26</definedName>
    <definedName name="OSRRefE21_0_3x" localSheetId="76">'411'!$N$22:$O$22</definedName>
    <definedName name="OSRRefE21_0_3x" localSheetId="77">'412'!$N$24:$O$24</definedName>
    <definedName name="OSRRefE21_0_3x" localSheetId="78">'413'!$N$25:$O$25</definedName>
    <definedName name="OSRRefE21_0_3x" localSheetId="79">'414'!$N$27:$O$27</definedName>
    <definedName name="OSRRefE21_0_3x" localSheetId="80">'415'!$N$29:$O$29</definedName>
    <definedName name="OSRRefE21_0_3x" localSheetId="81">'418'!$N$26:$O$26</definedName>
    <definedName name="OSRRefE21_0_3x" localSheetId="83">'423'!$N$22:$O$22</definedName>
    <definedName name="OSRRefE21_0_3x" localSheetId="85">'425'!$N$23:$O$23</definedName>
    <definedName name="OSRRefE21_0_3x" localSheetId="88">'430'!$N$22:$O$22</definedName>
    <definedName name="OSRRefE21_0_3x" localSheetId="89">'433'!$N$29:$O$29</definedName>
    <definedName name="OSRRefE21_0_3x" localSheetId="91">'444'!$N$29:$O$29</definedName>
    <definedName name="OSRRefE21_0_3x" localSheetId="92">'450'!$N$25:$O$25</definedName>
    <definedName name="OSRRefE21_0_3x" localSheetId="73">'491'!$N$32:$O$32</definedName>
    <definedName name="OSRRefE21_0_3x" localSheetId="87">'492'!$N$29:$O$29</definedName>
    <definedName name="OSRRefE21_0_3x" localSheetId="94">'501'!$N$24:$O$24</definedName>
    <definedName name="OSRRefE21_0_3x" localSheetId="39">'Div 2'!$N$22:$O$22</definedName>
    <definedName name="OSRRefE21_0_3x" localSheetId="47">'Div 3'!$N$130:$O$130</definedName>
    <definedName name="OSRRefE21_0_3x" localSheetId="71">'Div 4'!$N$34:$O$34</definedName>
    <definedName name="OSRRefE21_0_3x" localSheetId="93">'Div 5'!$N$24:$O$24</definedName>
    <definedName name="OSRRefE21_0_3x" localSheetId="62">'Div 6'!$N$55:$O$55</definedName>
    <definedName name="OSRRefE21_0_3x" localSheetId="2">Summary!$N$160:$O$160</definedName>
    <definedName name="OSRRefE21_0_4x" localSheetId="41">'201'!$N$23:$O$23</definedName>
    <definedName name="OSRRefE21_0_4x" localSheetId="42">'202'!$N$23:$O$23</definedName>
    <definedName name="OSRRefE21_0_4x" localSheetId="43">'203'!$N$23:$O$23</definedName>
    <definedName name="OSRRefE21_0_4x" localSheetId="44">'204'!$N$23:$O$23</definedName>
    <definedName name="OSRRefE21_0_4x" localSheetId="45">'205'!$N$23:$O$23</definedName>
    <definedName name="OSRRefE21_0_4x" localSheetId="46">'206'!$N$23:$O$23</definedName>
    <definedName name="OSRRefE21_0_4x" localSheetId="48">'300'!$N$127:$O$127</definedName>
    <definedName name="OSRRefE21_0_4x" localSheetId="49">'300 &amp; 317'!$N$151:$O$151</definedName>
    <definedName name="OSRRefE21_0_4x" localSheetId="50">'301'!$N$24:$O$24</definedName>
    <definedName name="OSRRefE21_0_4x" localSheetId="51">'306'!$N$23:$O$23</definedName>
    <definedName name="OSRRefE21_0_4x" localSheetId="53">'307'!$N$42:$O$42</definedName>
    <definedName name="OSRRefE21_0_4x" localSheetId="54">'308'!$N$62:$O$62</definedName>
    <definedName name="OSRRefE21_0_4x" localSheetId="65">'309'!$N$25:$O$25</definedName>
    <definedName name="OSRRefE21_0_4x" localSheetId="64">'310'!$N$33:$O$33</definedName>
    <definedName name="OSRRefE21_0_4x" localSheetId="72">'310 &amp; 491'!$N$39:$O$39</definedName>
    <definedName name="OSRRefE21_0_4x" localSheetId="55">'311'!$N$61:$O$61</definedName>
    <definedName name="OSRRefE21_0_4x" localSheetId="66">'313'!$N$28:$O$28</definedName>
    <definedName name="OSRRefE21_0_4x" localSheetId="58">'315'!$N$84:$O$84</definedName>
    <definedName name="OSRRefE21_0_4x" localSheetId="61">'316'!$N$35:$O$35</definedName>
    <definedName name="OSRRefE21_0_4x" localSheetId="63">'317'!$N$56:$O$56</definedName>
    <definedName name="OSRRefE21_0_4x" localSheetId="67">'321'!$N$27:$O$27</definedName>
    <definedName name="OSRRefE21_0_4x" localSheetId="68">'322'!$N$26:$O$26</definedName>
    <definedName name="OSRRefE21_0_4x" localSheetId="56">'324'!$N$30:$O$30</definedName>
    <definedName name="OSRRefE21_0_4x" localSheetId="69">'325'!$N$25:$O$25</definedName>
    <definedName name="OSRRefE21_0_4x" localSheetId="59">'326'!$N$51:$O$51</definedName>
    <definedName name="OSRRefE21_0_4x" localSheetId="52">'330'!$N$45:$O$45</definedName>
    <definedName name="OSRRefE21_0_4x" localSheetId="57">'331'!$N$85:$O$85</definedName>
    <definedName name="OSRRefE21_0_4x" localSheetId="60">'332'!$N$37:$O$37</definedName>
    <definedName name="OSRRefE21_0_4x" localSheetId="74">'405'!$N$27:$O$27</definedName>
    <definedName name="OSRRefE21_0_4x" localSheetId="76">'411'!$N$23:$O$23</definedName>
    <definedName name="OSRRefE21_0_4x" localSheetId="77">'412'!$N$25:$O$25</definedName>
    <definedName name="OSRRefE21_0_4x" localSheetId="78">'413'!$N$26:$O$26</definedName>
    <definedName name="OSRRefE21_0_4x" localSheetId="79">'414'!$N$28:$O$28</definedName>
    <definedName name="OSRRefE21_0_4x" localSheetId="80">'415'!$N$30:$O$30</definedName>
    <definedName name="OSRRefE21_0_4x" localSheetId="81">'418'!$N$27:$O$27</definedName>
    <definedName name="OSRRefE21_0_4x" localSheetId="83">'423'!$N$23:$O$23</definedName>
    <definedName name="OSRRefE21_0_4x" localSheetId="85">'425'!$N$24:$O$24</definedName>
    <definedName name="OSRRefE21_0_4x" localSheetId="88">'430'!$N$23:$O$23</definedName>
    <definedName name="OSRRefE21_0_4x" localSheetId="89">'433'!$N$30:$O$30</definedName>
    <definedName name="OSRRefE21_0_4x" localSheetId="91">'444'!$N$30:$O$30</definedName>
    <definedName name="OSRRefE21_0_4x" localSheetId="92">'450'!$N$26:$O$26</definedName>
    <definedName name="OSRRefE21_0_4x" localSheetId="73">'491'!$N$33:$O$33</definedName>
    <definedName name="OSRRefE21_0_4x" localSheetId="87">'492'!$N$30:$O$30</definedName>
    <definedName name="OSRRefE21_0_4x" localSheetId="94">'501'!$N$25:$O$25</definedName>
    <definedName name="OSRRefE21_0_4x" localSheetId="39">'Div 2'!$N$23:$O$23</definedName>
    <definedName name="OSRRefE21_0_4x" localSheetId="47">'Div 3'!$N$131:$O$131</definedName>
    <definedName name="OSRRefE21_0_4x" localSheetId="71">'Div 4'!$N$35:$O$35</definedName>
    <definedName name="OSRRefE21_0_4x" localSheetId="93">'Div 5'!$N$25:$O$25</definedName>
    <definedName name="OSRRefE21_0_4x" localSheetId="62">'Div 6'!$N$56:$O$56</definedName>
    <definedName name="OSRRefE21_0_4x" localSheetId="2">Summary!$N$161:$O$161</definedName>
    <definedName name="OSRRefE21_0_5x" localSheetId="41">'201'!$N$24:$O$24</definedName>
    <definedName name="OSRRefE21_0_5x" localSheetId="42">'202'!$N$24:$O$24</definedName>
    <definedName name="OSRRefE21_0_5x" localSheetId="43">'203'!$N$24:$O$24</definedName>
    <definedName name="OSRRefE21_0_5x" localSheetId="44">'204'!$N$24:$O$24</definedName>
    <definedName name="OSRRefE21_0_5x" localSheetId="45">'205'!$N$24:$O$24</definedName>
    <definedName name="OSRRefE21_0_5x" localSheetId="46">'206'!$N$24:$O$24</definedName>
    <definedName name="OSRRefE21_0_5x" localSheetId="48">'300'!$N$128:$O$128</definedName>
    <definedName name="OSRRefE21_0_5x" localSheetId="49">'300 &amp; 317'!$N$152:$O$152</definedName>
    <definedName name="OSRRefE21_0_5x" localSheetId="50">'301'!$N$25:$O$25</definedName>
    <definedName name="OSRRefE21_0_5x" localSheetId="51">'306'!$N$24:$O$24</definedName>
    <definedName name="OSRRefE21_0_5x" localSheetId="53">'307'!$N$43:$O$43</definedName>
    <definedName name="OSRRefE21_0_5x" localSheetId="54">'308'!$N$63:$O$63</definedName>
    <definedName name="OSRRefE21_0_5x" localSheetId="65">'309'!$N$26:$O$26</definedName>
    <definedName name="OSRRefE21_0_5x" localSheetId="64">'310'!$N$34:$O$34</definedName>
    <definedName name="OSRRefE21_0_5x" localSheetId="72">'310 &amp; 491'!$N$40:$O$40</definedName>
    <definedName name="OSRRefE21_0_5x" localSheetId="55">'311'!$N$62:$O$62</definedName>
    <definedName name="OSRRefE21_0_5x" localSheetId="66">'313'!$N$29:$O$29</definedName>
    <definedName name="OSRRefE21_0_5x" localSheetId="58">'315'!$N$85:$O$85</definedName>
    <definedName name="OSRRefE21_0_5x" localSheetId="61">'316'!$N$36:$O$36</definedName>
    <definedName name="OSRRefE21_0_5x" localSheetId="63">'317'!$N$57:$O$57</definedName>
    <definedName name="OSRRefE21_0_5x" localSheetId="67">'321'!$N$28:$O$28</definedName>
    <definedName name="OSRRefE21_0_5x" localSheetId="68">'322'!$N$27:$O$27</definedName>
    <definedName name="OSRRefE21_0_5x" localSheetId="56">'324'!$N$31:$O$31</definedName>
    <definedName name="OSRRefE21_0_5x" localSheetId="69">'325'!$N$26:$O$26</definedName>
    <definedName name="OSRRefE21_0_5x" localSheetId="59">'326'!$N$52:$O$52</definedName>
    <definedName name="OSRRefE21_0_5x" localSheetId="52">'330'!$N$46:$O$46</definedName>
    <definedName name="OSRRefE21_0_5x" localSheetId="57">'331'!$N$86:$O$86</definedName>
    <definedName name="OSRRefE21_0_5x" localSheetId="60">'332'!$N$38:$O$38</definedName>
    <definedName name="OSRRefE21_0_5x" localSheetId="74">'405'!$N$28:$O$28</definedName>
    <definedName name="OSRRefE21_0_5x" localSheetId="76">'411'!$N$24:$O$24</definedName>
    <definedName name="OSRRefE21_0_5x" localSheetId="77">'412'!$N$26:$O$26</definedName>
    <definedName name="OSRRefE21_0_5x" localSheetId="78">'413'!$N$27:$O$27</definedName>
    <definedName name="OSRRefE21_0_5x" localSheetId="79">'414'!$N$29:$O$29</definedName>
    <definedName name="OSRRefE21_0_5x" localSheetId="80">'415'!$N$31:$O$31</definedName>
    <definedName name="OSRRefE21_0_5x" localSheetId="81">'418'!$N$28:$O$28</definedName>
    <definedName name="OSRRefE21_0_5x" localSheetId="83">'423'!$N$24:$O$24</definedName>
    <definedName name="OSRRefE21_0_5x" localSheetId="88">'430'!$N$24:$O$24</definedName>
    <definedName name="OSRRefE21_0_5x" localSheetId="89">'433'!$N$31:$O$31</definedName>
    <definedName name="OSRRefE21_0_5x" localSheetId="91">'444'!$N$31:$O$31</definedName>
    <definedName name="OSRRefE21_0_5x" localSheetId="92">'450'!$N$27:$O$27</definedName>
    <definedName name="OSRRefE21_0_5x" localSheetId="73">'491'!$N$34:$O$34</definedName>
    <definedName name="OSRRefE21_0_5x" localSheetId="87">'492'!$N$31:$O$31</definedName>
    <definedName name="OSRRefE21_0_5x" localSheetId="94">'501'!$N$26:$O$26</definedName>
    <definedName name="OSRRefE21_0_5x" localSheetId="39">'Div 2'!$N$24:$O$24</definedName>
    <definedName name="OSRRefE21_0_5x" localSheetId="47">'Div 3'!$N$132:$O$132</definedName>
    <definedName name="OSRRefE21_0_5x" localSheetId="71">'Div 4'!$N$36:$O$36</definedName>
    <definedName name="OSRRefE21_0_5x" localSheetId="93">'Div 5'!$N$26:$O$26</definedName>
    <definedName name="OSRRefE21_0_5x" localSheetId="62">'Div 6'!$N$57:$O$57</definedName>
    <definedName name="OSRRefE21_0_5x" localSheetId="2">Summary!$N$162:$O$162</definedName>
    <definedName name="OSRRefE21_0_6x" localSheetId="41">'201'!$N$25:$O$25</definedName>
    <definedName name="OSRRefE21_0_6x" localSheetId="42">'202'!$N$25:$O$25</definedName>
    <definedName name="OSRRefE21_0_6x" localSheetId="43">'203'!$N$25:$O$25</definedName>
    <definedName name="OSRRefE21_0_6x" localSheetId="44">'204'!$N$25:$O$25</definedName>
    <definedName name="OSRRefE21_0_6x" localSheetId="45">'205'!$N$25:$O$25</definedName>
    <definedName name="OSRRefE21_0_6x" localSheetId="46">'206'!$N$25:$O$25</definedName>
    <definedName name="OSRRefE21_0_6x" localSheetId="48">'300'!$N$129:$O$129</definedName>
    <definedName name="OSRRefE21_0_6x" localSheetId="49">'300 &amp; 317'!$N$153:$O$153</definedName>
    <definedName name="OSRRefE21_0_6x" localSheetId="50">'301'!$N$26:$O$26</definedName>
    <definedName name="OSRRefE21_0_6x" localSheetId="51">'306'!$N$25:$O$25</definedName>
    <definedName name="OSRRefE21_0_6x" localSheetId="53">'307'!$N$44:$O$44</definedName>
    <definedName name="OSRRefE21_0_6x" localSheetId="54">'308'!$N$64:$O$64</definedName>
    <definedName name="OSRRefE21_0_6x" localSheetId="65">'309'!$N$27:$O$27</definedName>
    <definedName name="OSRRefE21_0_6x" localSheetId="64">'310'!$N$35:$O$35</definedName>
    <definedName name="OSRRefE21_0_6x" localSheetId="72">'310 &amp; 491'!$N$41:$O$41</definedName>
    <definedName name="OSRRefE21_0_6x" localSheetId="55">'311'!$N$63:$O$63</definedName>
    <definedName name="OSRRefE21_0_6x" localSheetId="66">'313'!$N$30:$O$30</definedName>
    <definedName name="OSRRefE21_0_6x" localSheetId="58">'315'!$N$86:$O$86</definedName>
    <definedName name="OSRRefE21_0_6x" localSheetId="61">'316'!$N$37:$O$37</definedName>
    <definedName name="OSRRefE21_0_6x" localSheetId="63">'317'!$N$58:$O$58</definedName>
    <definedName name="OSRRefE21_0_6x" localSheetId="67">'321'!$N$29:$O$29</definedName>
    <definedName name="OSRRefE21_0_6x" localSheetId="68">'322'!$N$28:$O$28</definedName>
    <definedName name="OSRRefE21_0_6x" localSheetId="56">'324'!$N$32:$O$32</definedName>
    <definedName name="OSRRefE21_0_6x" localSheetId="69">'325'!$N$27:$O$27</definedName>
    <definedName name="OSRRefE21_0_6x" localSheetId="59">'326'!$N$53:$O$53</definedName>
    <definedName name="OSRRefE21_0_6x" localSheetId="52">'330'!$N$47:$O$47</definedName>
    <definedName name="OSRRefE21_0_6x" localSheetId="57">'331'!$N$87:$O$87</definedName>
    <definedName name="OSRRefE21_0_6x" localSheetId="60">'332'!$N$39:$O$39</definedName>
    <definedName name="OSRRefE21_0_6x" localSheetId="74">'405'!$N$29:$O$29</definedName>
    <definedName name="OSRRefE21_0_6x" localSheetId="76">'411'!$N$25:$O$25</definedName>
    <definedName name="OSRRefE21_0_6x" localSheetId="77">'412'!$N$27:$O$27</definedName>
    <definedName name="OSRRefE21_0_6x" localSheetId="78">'413'!$N$28:$O$28</definedName>
    <definedName name="OSRRefE21_0_6x" localSheetId="79">'414'!$N$30:$O$30</definedName>
    <definedName name="OSRRefE21_0_6x" localSheetId="80">'415'!$N$32:$O$32</definedName>
    <definedName name="OSRRefE21_0_6x" localSheetId="81">'418'!$N$29:$O$29</definedName>
    <definedName name="OSRRefE21_0_6x" localSheetId="83">'423'!$N$25:$O$25</definedName>
    <definedName name="OSRRefE21_0_6x" localSheetId="88">'430'!$N$25:$O$25</definedName>
    <definedName name="OSRRefE21_0_6x" localSheetId="89">'433'!$N$32:$O$32</definedName>
    <definedName name="OSRRefE21_0_6x" localSheetId="91">'444'!$N$32:$O$32</definedName>
    <definedName name="OSRRefE21_0_6x" localSheetId="92">'450'!$N$28:$O$28</definedName>
    <definedName name="OSRRefE21_0_6x" localSheetId="73">'491'!$N$35:$O$35</definedName>
    <definedName name="OSRRefE21_0_6x" localSheetId="87">'492'!$N$32:$O$32</definedName>
    <definedName name="OSRRefE21_0_6x" localSheetId="94">'501'!$N$27:$O$27</definedName>
    <definedName name="OSRRefE21_0_6x" localSheetId="39">'Div 2'!$N$25:$O$25</definedName>
    <definedName name="OSRRefE21_0_6x" localSheetId="47">'Div 3'!$N$133:$O$133</definedName>
    <definedName name="OSRRefE21_0_6x" localSheetId="71">'Div 4'!$N$37:$O$37</definedName>
    <definedName name="OSRRefE21_0_6x" localSheetId="93">'Div 5'!$N$27:$O$27</definedName>
    <definedName name="OSRRefE21_0_6x" localSheetId="62">'Div 6'!$N$58:$O$58</definedName>
    <definedName name="OSRRefE21_0_6x" localSheetId="2">Summary!$N$163:$O$163</definedName>
    <definedName name="OSRRefE21_0_7x" localSheetId="41">'201'!$N$26:$O$26</definedName>
    <definedName name="OSRRefE21_0_7x" localSheetId="42">'202'!$N$26:$O$26</definedName>
    <definedName name="OSRRefE21_0_7x" localSheetId="43">'203'!$N$26:$O$26</definedName>
    <definedName name="OSRRefE21_0_7x" localSheetId="44">'204'!$N$26:$O$26</definedName>
    <definedName name="OSRRefE21_0_7x" localSheetId="45">'205'!$N$26:$O$26</definedName>
    <definedName name="OSRRefE21_0_7x" localSheetId="46">'206'!$N$26:$O$26</definedName>
    <definedName name="OSRRefE21_0_7x" localSheetId="48">'300'!$N$130:$O$130</definedName>
    <definedName name="OSRRefE21_0_7x" localSheetId="49">'300 &amp; 317'!$N$154:$O$154</definedName>
    <definedName name="OSRRefE21_0_7x" localSheetId="50">'301'!$N$27:$O$27</definedName>
    <definedName name="OSRRefE21_0_7x" localSheetId="51">'306'!$N$26:$O$26</definedName>
    <definedName name="OSRRefE21_0_7x" localSheetId="53">'307'!$N$45:$O$45</definedName>
    <definedName name="OSRRefE21_0_7x" localSheetId="54">'308'!$N$65:$O$65</definedName>
    <definedName name="OSRRefE21_0_7x" localSheetId="65">'309'!$N$28:$O$28</definedName>
    <definedName name="OSRRefE21_0_7x" localSheetId="64">'310'!$N$36:$O$36</definedName>
    <definedName name="OSRRefE21_0_7x" localSheetId="72">'310 &amp; 491'!$N$42:$O$42</definedName>
    <definedName name="OSRRefE21_0_7x" localSheetId="55">'311'!$N$64:$O$64</definedName>
    <definedName name="OSRRefE21_0_7x" localSheetId="66">'313'!$N$31:$O$31</definedName>
    <definedName name="OSRRefE21_0_7x" localSheetId="58">'315'!$N$87:$O$87</definedName>
    <definedName name="OSRRefE21_0_7x" localSheetId="61">'316'!$N$38:$O$38</definedName>
    <definedName name="OSRRefE21_0_7x" localSheetId="63">'317'!$N$59:$O$59</definedName>
    <definedName name="OSRRefE21_0_7x" localSheetId="67">'321'!$N$30:$O$30</definedName>
    <definedName name="OSRRefE21_0_7x" localSheetId="68">'322'!$N$29:$O$29</definedName>
    <definedName name="OSRRefE21_0_7x" localSheetId="56">'324'!$N$33:$O$33</definedName>
    <definedName name="OSRRefE21_0_7x" localSheetId="69">'325'!$N$28:$O$28</definedName>
    <definedName name="OSRRefE21_0_7x" localSheetId="59">'326'!$N$54:$O$54</definedName>
    <definedName name="OSRRefE21_0_7x" localSheetId="52">'330'!$N$48:$O$48</definedName>
    <definedName name="OSRRefE21_0_7x" localSheetId="57">'331'!$N$88:$O$88</definedName>
    <definedName name="OSRRefE21_0_7x" localSheetId="60">'332'!$N$40:$O$40</definedName>
    <definedName name="OSRRefE21_0_7x" localSheetId="74">'405'!$N$30:$O$30</definedName>
    <definedName name="OSRRefE21_0_7x" localSheetId="76">'411'!$N$26:$O$26</definedName>
    <definedName name="OSRRefE21_0_7x" localSheetId="77">'412'!$N$28:$O$28</definedName>
    <definedName name="OSRRefE21_0_7x" localSheetId="78">'413'!$N$29:$O$29</definedName>
    <definedName name="OSRRefE21_0_7x" localSheetId="79">'414'!$N$31:$O$31</definedName>
    <definedName name="OSRRefE21_0_7x" localSheetId="80">'415'!$N$33:$O$33</definedName>
    <definedName name="OSRRefE21_0_7x" localSheetId="81">'418'!$N$30:$O$30</definedName>
    <definedName name="OSRRefE21_0_7x" localSheetId="83">'423'!$N$26:$O$26</definedName>
    <definedName name="OSRRefE21_0_7x" localSheetId="88">'430'!$N$26:$O$26</definedName>
    <definedName name="OSRRefE21_0_7x" localSheetId="89">'433'!$N$33:$O$33</definedName>
    <definedName name="OSRRefE21_0_7x" localSheetId="91">'444'!$N$33:$O$33</definedName>
    <definedName name="OSRRefE21_0_7x" localSheetId="92">'450'!$N$29:$O$29</definedName>
    <definedName name="OSRRefE21_0_7x" localSheetId="73">'491'!$N$36:$O$36</definedName>
    <definedName name="OSRRefE21_0_7x" localSheetId="87">'492'!$N$33:$O$33</definedName>
    <definedName name="OSRRefE21_0_7x" localSheetId="94">'501'!$N$28:$O$28</definedName>
    <definedName name="OSRRefE21_0_7x" localSheetId="39">'Div 2'!$N$26:$O$26</definedName>
    <definedName name="OSRRefE21_0_7x" localSheetId="47">'Div 3'!$N$134:$O$134</definedName>
    <definedName name="OSRRefE21_0_7x" localSheetId="71">'Div 4'!$N$38:$O$38</definedName>
    <definedName name="OSRRefE21_0_7x" localSheetId="93">'Div 5'!$N$28:$O$28</definedName>
    <definedName name="OSRRefE21_0_7x" localSheetId="62">'Div 6'!$N$59:$O$59</definedName>
    <definedName name="OSRRefE21_0_7x" localSheetId="2">Summary!$N$164:$O$164</definedName>
    <definedName name="OSRRefE21_0_8x" localSheetId="41">'201'!$N$27:$O$27</definedName>
    <definedName name="OSRRefE21_0_8x" localSheetId="42">'202'!$N$27:$O$27</definedName>
    <definedName name="OSRRefE21_0_8x" localSheetId="43">'203'!$N$27:$O$27</definedName>
    <definedName name="OSRRefE21_0_8x" localSheetId="44">'204'!$N$27:$O$27</definedName>
    <definedName name="OSRRefE21_0_8x" localSheetId="45">'205'!$N$27:$O$27</definedName>
    <definedName name="OSRRefE21_0_8x" localSheetId="46">'206'!$N$27:$O$27</definedName>
    <definedName name="OSRRefE21_0_8x" localSheetId="48">'300'!$N$131:$O$131</definedName>
    <definedName name="OSRRefE21_0_8x" localSheetId="49">'300 &amp; 317'!$N$155:$O$155</definedName>
    <definedName name="OSRRefE21_0_8x" localSheetId="50">'301'!$N$28:$O$28</definedName>
    <definedName name="OSRRefE21_0_8x" localSheetId="51">'306'!$N$27:$O$27</definedName>
    <definedName name="OSRRefE21_0_8x" localSheetId="54">'308'!$N$66:$O$66</definedName>
    <definedName name="OSRRefE21_0_8x" localSheetId="64">'310'!$N$37:$O$37</definedName>
    <definedName name="OSRRefE21_0_8x" localSheetId="72">'310 &amp; 491'!$N$43:$O$43</definedName>
    <definedName name="OSRRefE21_0_8x" localSheetId="55">'311'!$N$65:$O$65</definedName>
    <definedName name="OSRRefE21_0_8x" localSheetId="66">'313'!$N$32:$O$32</definedName>
    <definedName name="OSRRefE21_0_8x" localSheetId="58">'315'!$N$88:$O$88</definedName>
    <definedName name="OSRRefE21_0_8x" localSheetId="61">'316'!$N$39:$O$39</definedName>
    <definedName name="OSRRefE21_0_8x" localSheetId="63">'317'!$N$60:$O$60</definedName>
    <definedName name="OSRRefE21_0_8x" localSheetId="67">'321'!$N$31:$O$31</definedName>
    <definedName name="OSRRefE21_0_8x" localSheetId="59">'326'!$N$55:$O$55</definedName>
    <definedName name="OSRRefE21_0_8x" localSheetId="52">'330'!$N$49:$O$49</definedName>
    <definedName name="OSRRefE21_0_8x" localSheetId="57">'331'!$N$89:$O$89</definedName>
    <definedName name="OSRRefE21_0_8x" localSheetId="60">'332'!$N$41:$O$41</definedName>
    <definedName name="OSRRefE21_0_8x" localSheetId="76">'411'!$N$27:$O$27</definedName>
    <definedName name="OSRRefE21_0_8x" localSheetId="78">'413'!$N$30:$O$30</definedName>
    <definedName name="OSRRefE21_0_8x" localSheetId="79">'414'!$N$32:$O$32</definedName>
    <definedName name="OSRRefE21_0_8x" localSheetId="80">'415'!$N$34:$O$34</definedName>
    <definedName name="OSRRefE21_0_8x" localSheetId="88">'430'!$N$27:$O$27</definedName>
    <definedName name="OSRRefE21_0_8x" localSheetId="89">'433'!$N$34:$O$34</definedName>
    <definedName name="OSRRefE21_0_8x" localSheetId="91">'444'!$N$34:$O$34</definedName>
    <definedName name="OSRRefE21_0_8x" localSheetId="92">'450'!$N$30:$O$30</definedName>
    <definedName name="OSRRefE21_0_8x" localSheetId="73">'491'!$N$37:$O$37</definedName>
    <definedName name="OSRRefE21_0_8x" localSheetId="87">'492'!$N$34:$O$34</definedName>
    <definedName name="OSRRefE21_0_8x" localSheetId="94">'501'!$N$29:$O$29</definedName>
    <definedName name="OSRRefE21_0_8x" localSheetId="39">'Div 2'!$N$27:$O$27</definedName>
    <definedName name="OSRRefE21_0_8x" localSheetId="47">'Div 3'!$N$135:$O$135</definedName>
    <definedName name="OSRRefE21_0_8x" localSheetId="71">'Div 4'!$N$39:$O$39</definedName>
    <definedName name="OSRRefE21_0_8x" localSheetId="93">'Div 5'!$N$29:$O$29</definedName>
    <definedName name="OSRRefE21_0_8x" localSheetId="62">'Div 6'!$N$60:$O$60</definedName>
    <definedName name="OSRRefE21_0_8x" localSheetId="2">Summary!$N$165:$O$165</definedName>
    <definedName name="OSRRefE21_0_9x" localSheetId="43">'203'!$N$28:$O$28</definedName>
    <definedName name="OSRRefE21_0_9x" localSheetId="44">'204'!$N$28:$O$28</definedName>
    <definedName name="OSRRefE21_0_9x" localSheetId="48">'300'!$N$132:$O$132</definedName>
    <definedName name="OSRRefE21_0_9x" localSheetId="49">'300 &amp; 317'!$N$156:$O$156</definedName>
    <definedName name="OSRRefE21_0_9x" localSheetId="50">'301'!$N$29:$O$29</definedName>
    <definedName name="OSRRefE21_0_9x" localSheetId="54">'308'!$N$67:$O$67</definedName>
    <definedName name="OSRRefE21_0_9x" localSheetId="55">'311'!$N$66:$O$66</definedName>
    <definedName name="OSRRefE21_0_9x" localSheetId="63">'317'!$N$61:$O$61</definedName>
    <definedName name="OSRRefE21_0_9x" localSheetId="89">'433'!$N$35:$O$35</definedName>
    <definedName name="OSRRefE21_0_9x" localSheetId="91">'444'!$N$35:$O$35</definedName>
    <definedName name="OSRRefE21_0_9x" localSheetId="92">'450'!$N$31:$O$31</definedName>
    <definedName name="OSRRefE21_0_9x" localSheetId="87">'492'!$N$35:$O$35</definedName>
    <definedName name="OSRRefE21_0_9x" localSheetId="94">'501'!$N$30:$O$30</definedName>
    <definedName name="OSRRefE21_0_9x" localSheetId="39">'Div 2'!$N$28:$O$28</definedName>
    <definedName name="OSRRefE21_0_9x" localSheetId="47">'Div 3'!$N$136:$O$136</definedName>
    <definedName name="OSRRefE21_0_9x" localSheetId="71">'Div 4'!$N$40:$O$40</definedName>
    <definedName name="OSRRefE21_0_9x" localSheetId="93">'Div 5'!$N$30:$O$30</definedName>
    <definedName name="OSRRefE21_0_9x" localSheetId="62">'Div 6'!$N$61:$O$61</definedName>
    <definedName name="OSRRefE21_0_9x" localSheetId="2">Summary!$N$166:$O$166</definedName>
    <definedName name="OSRRefE21_0x_0" localSheetId="40">'200'!$N$19</definedName>
    <definedName name="OSRRefE21_0x_0" localSheetId="41">'201'!$N$19:$N$27</definedName>
    <definedName name="OSRRefE21_0x_0" localSheetId="42">'202'!$N$19:$N$27</definedName>
    <definedName name="OSRRefE21_0x_0" localSheetId="43">'203'!$N$19:$N$28</definedName>
    <definedName name="OSRRefE21_0x_0" localSheetId="44">'204'!$N$19:$N$28</definedName>
    <definedName name="OSRRefE21_0x_0" localSheetId="45">'205'!$N$19:$N$27</definedName>
    <definedName name="OSRRefE21_0x_0" localSheetId="46">'206'!$N$19:$N$27</definedName>
    <definedName name="OSRRefE21_0x_0" localSheetId="48">'300'!$N$123:$N$132</definedName>
    <definedName name="OSRRefE21_0x_0" localSheetId="49">'300 &amp; 317'!$N$147:$N$156</definedName>
    <definedName name="OSRRefE21_0x_0" localSheetId="50">'301'!$N$20:$N$29</definedName>
    <definedName name="OSRRefE21_0x_0" localSheetId="51">'306'!$N$19:$N$27</definedName>
    <definedName name="OSRRefE21_0x_0" localSheetId="53">'307'!$N$38:$N$45</definedName>
    <definedName name="OSRRefE21_0x_0" localSheetId="54">'308'!$N$58:$N$67</definedName>
    <definedName name="OSRRefE21_0x_0" localSheetId="65">'309'!$N$21:$N$28</definedName>
    <definedName name="OSRRefE21_0x_0" localSheetId="64">'310'!$N$29:$N$37</definedName>
    <definedName name="OSRRefE21_0x_0" localSheetId="72">'310 &amp; 491'!$N$35:$N$43</definedName>
    <definedName name="OSRRefE21_0x_0" localSheetId="55">'311'!$N$57:$N$66</definedName>
    <definedName name="OSRRefE21_0x_0" localSheetId="66">'313'!$N$24:$N$32</definedName>
    <definedName name="OSRRefE21_0x_0" localSheetId="58">'315'!$N$80:$N$88</definedName>
    <definedName name="OSRRefE21_0x_0" localSheetId="61">'316'!$N$31:$N$39</definedName>
    <definedName name="OSRRefE21_0x_0" localSheetId="63">'317'!$N$52:$N$61</definedName>
    <definedName name="OSRRefE21_0x_0" localSheetId="67">'321'!$N$23:$N$31</definedName>
    <definedName name="OSRRefE21_0x_0" localSheetId="68">'322'!$N$22:$N$29</definedName>
    <definedName name="OSRRefE21_0x_0" localSheetId="56">'324'!$N$26:$N$33</definedName>
    <definedName name="OSRRefE21_0x_0" localSheetId="69">'325'!$N$21:$N$28</definedName>
    <definedName name="OSRRefE21_0x_0" localSheetId="59">'326'!$N$47:$N$55</definedName>
    <definedName name="OSRRefE21_0x_0" localSheetId="70">'327'!$N$23</definedName>
    <definedName name="OSRRefE21_0x_0" localSheetId="52">'330'!$N$41:$N$49</definedName>
    <definedName name="OSRRefE21_0x_0" localSheetId="57">'331'!$N$81:$N$89</definedName>
    <definedName name="OSRRefE21_0x_0" localSheetId="60">'332'!$N$33:$N$41</definedName>
    <definedName name="OSRRefE21_0x_0" localSheetId="74">'405'!$N$23:$N$30</definedName>
    <definedName name="OSRRefE21_0x_0" localSheetId="75">'406'!$N$19</definedName>
    <definedName name="OSRRefE21_0x_0" localSheetId="76">'411'!$N$19:$N$27</definedName>
    <definedName name="OSRRefE21_0x_0" localSheetId="77">'412'!$N$21:$N$28</definedName>
    <definedName name="OSRRefE21_0x_0" localSheetId="78">'413'!$N$22:$N$30</definedName>
    <definedName name="OSRRefE21_0x_0" localSheetId="79">'414'!$N$24:$N$32</definedName>
    <definedName name="OSRRefE21_0x_0" localSheetId="80">'415'!$N$26:$N$34</definedName>
    <definedName name="OSRRefE21_0x_0" localSheetId="81">'418'!$N$23:$N$30</definedName>
    <definedName name="OSRRefE21_0x_0" localSheetId="82">'420'!$N$21</definedName>
    <definedName name="OSRRefE21_0x_0" localSheetId="83">'423'!$N$19:$N$26</definedName>
    <definedName name="OSRRefE21_0x_0" localSheetId="84">'424'!$N$19</definedName>
    <definedName name="OSRRefE21_0x_0" localSheetId="85">'425'!$N$20:$N$24</definedName>
    <definedName name="OSRRefE21_0x_0" localSheetId="88">'430'!$N$19:$N$27</definedName>
    <definedName name="OSRRefE21_0x_0" localSheetId="89">'433'!$N$26:$N$35</definedName>
    <definedName name="OSRRefE21_0x_0" localSheetId="90">'435'!$N$19</definedName>
    <definedName name="OSRRefE21_0x_0" localSheetId="91">'444'!$N$26:$N$35</definedName>
    <definedName name="OSRRefE21_0x_0" localSheetId="92">'450'!$N$22:$N$31</definedName>
    <definedName name="OSRRefE21_0x_0" localSheetId="73">'491'!$N$29:$N$37</definedName>
    <definedName name="OSRRefE21_0x_0" localSheetId="87">'492'!$N$26:$N$35</definedName>
    <definedName name="OSRRefE21_0x_0" localSheetId="94">'501'!$N$21:$N$30</definedName>
    <definedName name="OSRRefE21_0x_0" localSheetId="39">'Div 2'!$N$19:$N$29</definedName>
    <definedName name="OSRRefE21_0x_0" localSheetId="47">'Div 3'!$N$127:$N$136</definedName>
    <definedName name="OSRRefE21_0x_0" localSheetId="71">'Div 4'!$N$31:$N$40</definedName>
    <definedName name="OSRRefE21_0x_0" localSheetId="93">'Div 5'!$N$21:$N$30</definedName>
    <definedName name="OSRRefE21_0x_0" localSheetId="62">'Div 6'!$N$52:$N$61</definedName>
    <definedName name="OSRRefE21_0x_0" localSheetId="2">Summary!$N$157:$N$166</definedName>
    <definedName name="OSRRefE21_0x_1" localSheetId="40">'200'!$O$19</definedName>
    <definedName name="OSRRefE21_0x_1" localSheetId="41">'201'!$O$19:$O$27</definedName>
    <definedName name="OSRRefE21_0x_1" localSheetId="42">'202'!$O$19:$O$27</definedName>
    <definedName name="OSRRefE21_0x_1" localSheetId="43">'203'!$O$19:$O$28</definedName>
    <definedName name="OSRRefE21_0x_1" localSheetId="44">'204'!$O$19:$O$28</definedName>
    <definedName name="OSRRefE21_0x_1" localSheetId="45">'205'!$O$19:$O$27</definedName>
    <definedName name="OSRRefE21_0x_1" localSheetId="46">'206'!$O$19:$O$27</definedName>
    <definedName name="OSRRefE21_0x_1" localSheetId="48">'300'!$O$123:$O$132</definedName>
    <definedName name="OSRRefE21_0x_1" localSheetId="49">'300 &amp; 317'!$O$147:$O$156</definedName>
    <definedName name="OSRRefE21_0x_1" localSheetId="50">'301'!$O$20:$O$29</definedName>
    <definedName name="OSRRefE21_0x_1" localSheetId="51">'306'!$O$19:$O$27</definedName>
    <definedName name="OSRRefE21_0x_1" localSheetId="53">'307'!$O$38:$O$45</definedName>
    <definedName name="OSRRefE21_0x_1" localSheetId="54">'308'!$O$58:$O$67</definedName>
    <definedName name="OSRRefE21_0x_1" localSheetId="65">'309'!$O$21:$O$28</definedName>
    <definedName name="OSRRefE21_0x_1" localSheetId="64">'310'!$O$29:$O$37</definedName>
    <definedName name="OSRRefE21_0x_1" localSheetId="72">'310 &amp; 491'!$O$35:$O$43</definedName>
    <definedName name="OSRRefE21_0x_1" localSheetId="55">'311'!$O$57:$O$66</definedName>
    <definedName name="OSRRefE21_0x_1" localSheetId="66">'313'!$O$24:$O$32</definedName>
    <definedName name="OSRRefE21_0x_1" localSheetId="58">'315'!$O$80:$O$88</definedName>
    <definedName name="OSRRefE21_0x_1" localSheetId="61">'316'!$O$31:$O$39</definedName>
    <definedName name="OSRRefE21_0x_1" localSheetId="63">'317'!$O$52:$O$61</definedName>
    <definedName name="OSRRefE21_0x_1" localSheetId="67">'321'!$O$23:$O$31</definedName>
    <definedName name="OSRRefE21_0x_1" localSheetId="68">'322'!$O$22:$O$29</definedName>
    <definedName name="OSRRefE21_0x_1" localSheetId="56">'324'!$O$26:$O$33</definedName>
    <definedName name="OSRRefE21_0x_1" localSheetId="69">'325'!$O$21:$O$28</definedName>
    <definedName name="OSRRefE21_0x_1" localSheetId="59">'326'!$O$47:$O$55</definedName>
    <definedName name="OSRRefE21_0x_1" localSheetId="70">'327'!$O$23</definedName>
    <definedName name="OSRRefE21_0x_1" localSheetId="52">'330'!$O$41:$O$49</definedName>
    <definedName name="OSRRefE21_0x_1" localSheetId="57">'331'!$O$81:$O$89</definedName>
    <definedName name="OSRRefE21_0x_1" localSheetId="60">'332'!$O$33:$O$41</definedName>
    <definedName name="OSRRefE21_0x_1" localSheetId="74">'405'!$O$23:$O$30</definedName>
    <definedName name="OSRRefE21_0x_1" localSheetId="75">'406'!$O$19</definedName>
    <definedName name="OSRRefE21_0x_1" localSheetId="76">'411'!$O$19:$O$27</definedName>
    <definedName name="OSRRefE21_0x_1" localSheetId="77">'412'!$O$21:$O$28</definedName>
    <definedName name="OSRRefE21_0x_1" localSheetId="78">'413'!$O$22:$O$30</definedName>
    <definedName name="OSRRefE21_0x_1" localSheetId="79">'414'!$O$24:$O$32</definedName>
    <definedName name="OSRRefE21_0x_1" localSheetId="80">'415'!$O$26:$O$34</definedName>
    <definedName name="OSRRefE21_0x_1" localSheetId="81">'418'!$O$23:$O$30</definedName>
    <definedName name="OSRRefE21_0x_1" localSheetId="82">'420'!$O$21</definedName>
    <definedName name="OSRRefE21_0x_1" localSheetId="83">'423'!$O$19:$O$26</definedName>
    <definedName name="OSRRefE21_0x_1" localSheetId="84">'424'!$O$19</definedName>
    <definedName name="OSRRefE21_0x_1" localSheetId="85">'425'!$O$20:$O$24</definedName>
    <definedName name="OSRRefE21_0x_1" localSheetId="88">'430'!$O$19:$O$27</definedName>
    <definedName name="OSRRefE21_0x_1" localSheetId="89">'433'!$O$26:$O$35</definedName>
    <definedName name="OSRRefE21_0x_1" localSheetId="90">'435'!$O$19</definedName>
    <definedName name="OSRRefE21_0x_1" localSheetId="91">'444'!$O$26:$O$35</definedName>
    <definedName name="OSRRefE21_0x_1" localSheetId="92">'450'!$O$22:$O$31</definedName>
    <definedName name="OSRRefE21_0x_1" localSheetId="73">'491'!$O$29:$O$37</definedName>
    <definedName name="OSRRefE21_0x_1" localSheetId="87">'492'!$O$26:$O$35</definedName>
    <definedName name="OSRRefE21_0x_1" localSheetId="94">'501'!$O$21:$O$30</definedName>
    <definedName name="OSRRefE21_0x_1" localSheetId="39">'Div 2'!$O$19:$O$29</definedName>
    <definedName name="OSRRefE21_0x_1" localSheetId="47">'Div 3'!$O$127:$O$136</definedName>
    <definedName name="OSRRefE21_0x_1" localSheetId="71">'Div 4'!$O$31:$O$40</definedName>
    <definedName name="OSRRefE21_0x_1" localSheetId="93">'Div 5'!$O$21:$O$30</definedName>
    <definedName name="OSRRefE21_0x_1" localSheetId="62">'Div 6'!$O$52:$O$61</definedName>
    <definedName name="OSRRefE21_0x_1" localSheetId="2">Summary!$O$157:$O$166</definedName>
    <definedName name="OSRRefE21_1_0x" localSheetId="40">'200'!$N$21:$O$21</definedName>
    <definedName name="OSRRefE21_1_0x" localSheetId="41">'201'!$N$29:$O$29</definedName>
    <definedName name="OSRRefE21_1_0x" localSheetId="42">'202'!$N$29:$O$29</definedName>
    <definedName name="OSRRefE21_1_0x" localSheetId="43">'203'!$N$30:$O$30</definedName>
    <definedName name="OSRRefE21_1_0x" localSheetId="44">'204'!$N$30:$O$30</definedName>
    <definedName name="OSRRefE21_1_0x" localSheetId="45">'205'!$N$29:$O$29</definedName>
    <definedName name="OSRRefE21_1_0x" localSheetId="46">'206'!$N$29:$O$29</definedName>
    <definedName name="OSRRefE21_1_0x" localSheetId="48">'300'!$N$134:$O$134</definedName>
    <definedName name="OSRRefE21_1_0x" localSheetId="49">'300 &amp; 317'!$N$158:$O$158</definedName>
    <definedName name="OSRRefE21_1_0x" localSheetId="50">'301'!$N$31:$O$31</definedName>
    <definedName name="OSRRefE21_1_0x" localSheetId="51">'306'!$N$29:$O$29</definedName>
    <definedName name="OSRRefE21_1_0x" localSheetId="53">'307'!$N$47:$O$47</definedName>
    <definedName name="OSRRefE21_1_0x" localSheetId="54">'308'!$N$69:$O$69</definedName>
    <definedName name="OSRRefE21_1_0x" localSheetId="65">'309'!$N$30:$O$30</definedName>
    <definedName name="OSRRefE21_1_0x" localSheetId="64">'310'!$N$39:$O$39</definedName>
    <definedName name="OSRRefE21_1_0x" localSheetId="72">'310 &amp; 491'!$N$45:$O$45</definedName>
    <definedName name="OSRRefE21_1_0x" localSheetId="55">'311'!$N$68:$O$68</definedName>
    <definedName name="OSRRefE21_1_0x" localSheetId="66">'313'!$N$34:$O$34</definedName>
    <definedName name="OSRRefE21_1_0x" localSheetId="58">'315'!$N$90:$O$90</definedName>
    <definedName name="OSRRefE21_1_0x" localSheetId="61">'316'!$N$41:$O$41</definedName>
    <definedName name="OSRRefE21_1_0x" localSheetId="63">'317'!$N$63:$O$63</definedName>
    <definedName name="OSRRefE21_1_0x" localSheetId="67">'321'!$N$33:$O$33</definedName>
    <definedName name="OSRRefE21_1_0x" localSheetId="68">'322'!$N$31:$O$31</definedName>
    <definedName name="OSRRefE21_1_0x" localSheetId="56">'324'!$N$35:$O$35</definedName>
    <definedName name="OSRRefE21_1_0x" localSheetId="69">'325'!$N$30:$O$30</definedName>
    <definedName name="OSRRefE21_1_0x" localSheetId="59">'326'!$N$57:$O$57</definedName>
    <definedName name="OSRRefE21_1_0x" localSheetId="70">'327'!$N$25:$O$25</definedName>
    <definedName name="OSRRefE21_1_0x" localSheetId="52">'330'!$N$51:$O$51</definedName>
    <definedName name="OSRRefE21_1_0x" localSheetId="57">'331'!$N$91:$O$91</definedName>
    <definedName name="OSRRefE21_1_0x" localSheetId="60">'332'!$N$43:$O$43</definedName>
    <definedName name="OSRRefE21_1_0x" localSheetId="74">'405'!$N$32:$O$32</definedName>
    <definedName name="OSRRefE21_1_0x" localSheetId="75">'406'!$N$21:$O$21</definedName>
    <definedName name="OSRRefE21_1_0x" localSheetId="76">'411'!$N$29:$O$29</definedName>
    <definedName name="OSRRefE21_1_0x" localSheetId="77">'412'!$N$30:$O$30</definedName>
    <definedName name="OSRRefE21_1_0x" localSheetId="78">'413'!$N$32:$O$32</definedName>
    <definedName name="OSRRefE21_1_0x" localSheetId="79">'414'!$N$34:$O$34</definedName>
    <definedName name="OSRRefE21_1_0x" localSheetId="80">'415'!$N$36:$O$36</definedName>
    <definedName name="OSRRefE21_1_0x" localSheetId="81">'418'!$N$32:$O$32</definedName>
    <definedName name="OSRRefE21_1_0x" localSheetId="82">'420'!$N$23:$O$23</definedName>
    <definedName name="OSRRefE21_1_0x" localSheetId="83">'423'!$N$28:$O$28</definedName>
    <definedName name="OSRRefE21_1_0x" localSheetId="84">'424'!$N$21:$O$21</definedName>
    <definedName name="OSRRefE21_1_0x" localSheetId="85">'425'!$N$26:$O$26</definedName>
    <definedName name="OSRRefE21_1_0x" localSheetId="88">'430'!$N$29:$O$29</definedName>
    <definedName name="OSRRefE21_1_0x" localSheetId="89">'433'!$N$37:$O$37</definedName>
    <definedName name="OSRRefE21_1_0x" localSheetId="91">'444'!$N$37:$O$37</definedName>
    <definedName name="OSRRefE21_1_0x" localSheetId="92">'450'!$N$33:$O$33</definedName>
    <definedName name="OSRRefE21_1_0x" localSheetId="73">'491'!$N$39:$O$39</definedName>
    <definedName name="OSRRefE21_1_0x" localSheetId="87">'492'!$N$37:$O$37</definedName>
    <definedName name="OSRRefE21_1_0x" localSheetId="94">'501'!$N$32:$O$32</definedName>
    <definedName name="OSRRefE21_1_0x" localSheetId="39">'Div 2'!$N$31:$O$31</definedName>
    <definedName name="OSRRefE21_1_0x" localSheetId="47">'Div 3'!$N$138:$O$138</definedName>
    <definedName name="OSRRefE21_1_0x" localSheetId="71">'Div 4'!$N$42:$O$42</definedName>
    <definedName name="OSRRefE21_1_0x" localSheetId="93">'Div 5'!$N$32:$O$32</definedName>
    <definedName name="OSRRefE21_1_0x" localSheetId="62">'Div 6'!$N$63:$O$63</definedName>
    <definedName name="OSRRefE21_1_0x" localSheetId="2">Summary!$N$168:$O$168</definedName>
    <definedName name="OSRRefE21_1_1x" localSheetId="41">'201'!$N$30:$O$30</definedName>
    <definedName name="OSRRefE21_1_1x" localSheetId="42">'202'!$N$30:$O$30</definedName>
    <definedName name="OSRRefE21_1_1x" localSheetId="43">'203'!$N$31:$O$31</definedName>
    <definedName name="OSRRefE21_1_1x" localSheetId="44">'204'!$N$31:$O$31</definedName>
    <definedName name="OSRRefE21_1_1x" localSheetId="45">'205'!$N$30:$O$30</definedName>
    <definedName name="OSRRefE21_1_1x" localSheetId="46">'206'!$N$30:$O$30</definedName>
    <definedName name="OSRRefE21_1_1x" localSheetId="48">'300'!$N$135:$O$135</definedName>
    <definedName name="OSRRefE21_1_1x" localSheetId="49">'300 &amp; 317'!$N$159:$O$159</definedName>
    <definedName name="OSRRefE21_1_1x" localSheetId="50">'301'!$N$32:$O$32</definedName>
    <definedName name="OSRRefE21_1_1x" localSheetId="51">'306'!$N$30:$O$30</definedName>
    <definedName name="OSRRefE21_1_1x" localSheetId="53">'307'!$N$48:$O$48</definedName>
    <definedName name="OSRRefE21_1_1x" localSheetId="54">'308'!$N$70:$O$70</definedName>
    <definedName name="OSRRefE21_1_1x" localSheetId="65">'309'!$N$31:$O$31</definedName>
    <definedName name="OSRRefE21_1_1x" localSheetId="64">'310'!$N$40:$O$40</definedName>
    <definedName name="OSRRefE21_1_1x" localSheetId="72">'310 &amp; 491'!$N$46:$O$46</definedName>
    <definedName name="OSRRefE21_1_1x" localSheetId="55">'311'!$N$69:$O$69</definedName>
    <definedName name="OSRRefE21_1_1x" localSheetId="66">'313'!$N$35:$O$35</definedName>
    <definedName name="OSRRefE21_1_1x" localSheetId="58">'315'!$N$91:$O$91</definedName>
    <definedName name="OSRRefE21_1_1x" localSheetId="61">'316'!$N$42:$O$42</definedName>
    <definedName name="OSRRefE21_1_1x" localSheetId="63">'317'!$N$64:$O$64</definedName>
    <definedName name="OSRRefE21_1_1x" localSheetId="67">'321'!$N$34:$O$34</definedName>
    <definedName name="OSRRefE21_1_1x" localSheetId="68">'322'!$N$32:$O$32</definedName>
    <definedName name="OSRRefE21_1_1x" localSheetId="56">'324'!$N$36:$O$36</definedName>
    <definedName name="OSRRefE21_1_1x" localSheetId="69">'325'!$N$31:$O$31</definedName>
    <definedName name="OSRRefE21_1_1x" localSheetId="59">'326'!$N$58:$O$58</definedName>
    <definedName name="OSRRefE21_1_1x" localSheetId="52">'330'!$N$52:$O$52</definedName>
    <definedName name="OSRRefE21_1_1x" localSheetId="57">'331'!$N$92:$O$92</definedName>
    <definedName name="OSRRefE21_1_1x" localSheetId="60">'332'!$N$44:$O$44</definedName>
    <definedName name="OSRRefE21_1_1x" localSheetId="74">'405'!$N$33:$O$33</definedName>
    <definedName name="OSRRefE21_1_1x" localSheetId="76">'411'!$N$30:$O$30</definedName>
    <definedName name="OSRRefE21_1_1x" localSheetId="77">'412'!$N$31:$O$31</definedName>
    <definedName name="OSRRefE21_1_1x" localSheetId="78">'413'!$N$33:$O$33</definedName>
    <definedName name="OSRRefE21_1_1x" localSheetId="79">'414'!$N$35:$O$35</definedName>
    <definedName name="OSRRefE21_1_1x" localSheetId="80">'415'!$N$37:$O$37</definedName>
    <definedName name="OSRRefE21_1_1x" localSheetId="81">'418'!$N$33:$O$33</definedName>
    <definedName name="OSRRefE21_1_1x" localSheetId="83">'423'!$N$29:$O$29</definedName>
    <definedName name="OSRRefE21_1_1x" localSheetId="88">'430'!$N$30:$O$30</definedName>
    <definedName name="OSRRefE21_1_1x" localSheetId="89">'433'!$N$38:$O$38</definedName>
    <definedName name="OSRRefE21_1_1x" localSheetId="91">'444'!$N$38:$O$38</definedName>
    <definedName name="OSRRefE21_1_1x" localSheetId="92">'450'!$N$34:$O$34</definedName>
    <definedName name="OSRRefE21_1_1x" localSheetId="73">'491'!$N$40:$O$40</definedName>
    <definedName name="OSRRefE21_1_1x" localSheetId="87">'492'!$N$38:$O$38</definedName>
    <definedName name="OSRRefE21_1_1x" localSheetId="94">'501'!$N$33:$O$33</definedName>
    <definedName name="OSRRefE21_1_1x" localSheetId="39">'Div 2'!$N$32:$O$32</definedName>
    <definedName name="OSRRefE21_1_1x" localSheetId="47">'Div 3'!$N$139:$O$139</definedName>
    <definedName name="OSRRefE21_1_1x" localSheetId="71">'Div 4'!$N$43:$O$43</definedName>
    <definedName name="OSRRefE21_1_1x" localSheetId="93">'Div 5'!$N$33:$O$33</definedName>
    <definedName name="OSRRefE21_1_1x" localSheetId="62">'Div 6'!$N$64:$O$64</definedName>
    <definedName name="OSRRefE21_1_1x" localSheetId="2">Summary!$N$169:$O$169</definedName>
    <definedName name="OSRRefE21_1_2x" localSheetId="41">'201'!$N$31:$O$31</definedName>
    <definedName name="OSRRefE21_1_2x" localSheetId="42">'202'!$N$31:$O$31</definedName>
    <definedName name="OSRRefE21_1_2x" localSheetId="43">'203'!$N$32:$O$32</definedName>
    <definedName name="OSRRefE21_1_2x" localSheetId="44">'204'!$N$32:$O$32</definedName>
    <definedName name="OSRRefE21_1_2x" localSheetId="45">'205'!$N$31:$O$31</definedName>
    <definedName name="OSRRefE21_1_2x" localSheetId="46">'206'!$N$31:$O$31</definedName>
    <definedName name="OSRRefE21_1_2x" localSheetId="48">'300'!$N$136:$O$136</definedName>
    <definedName name="OSRRefE21_1_2x" localSheetId="49">'300 &amp; 317'!$N$160:$O$160</definedName>
    <definedName name="OSRRefE21_1_2x" localSheetId="50">'301'!$N$33:$O$33</definedName>
    <definedName name="OSRRefE21_1_2x" localSheetId="51">'306'!$N$31:$O$31</definedName>
    <definedName name="OSRRefE21_1_2x" localSheetId="53">'307'!$N$49:$O$49</definedName>
    <definedName name="OSRRefE21_1_2x" localSheetId="54">'308'!$N$71:$O$71</definedName>
    <definedName name="OSRRefE21_1_2x" localSheetId="65">'309'!$N$32:$O$32</definedName>
    <definedName name="OSRRefE21_1_2x" localSheetId="64">'310'!$N$41:$O$41</definedName>
    <definedName name="OSRRefE21_1_2x" localSheetId="72">'310 &amp; 491'!$N$47:$O$47</definedName>
    <definedName name="OSRRefE21_1_2x" localSheetId="55">'311'!$N$70:$O$70</definedName>
    <definedName name="OSRRefE21_1_2x" localSheetId="66">'313'!$N$36:$O$36</definedName>
    <definedName name="OSRRefE21_1_2x" localSheetId="58">'315'!$N$92:$O$92</definedName>
    <definedName name="OSRRefE21_1_2x" localSheetId="61">'316'!$N$43:$O$43</definedName>
    <definedName name="OSRRefE21_1_2x" localSheetId="63">'317'!$N$65:$O$65</definedName>
    <definedName name="OSRRefE21_1_2x" localSheetId="67">'321'!$N$35:$O$35</definedName>
    <definedName name="OSRRefE21_1_2x" localSheetId="68">'322'!$N$33:$O$33</definedName>
    <definedName name="OSRRefE21_1_2x" localSheetId="56">'324'!$N$37:$O$37</definedName>
    <definedName name="OSRRefE21_1_2x" localSheetId="69">'325'!$N$32:$O$32</definedName>
    <definedName name="OSRRefE21_1_2x" localSheetId="59">'326'!$N$59:$O$59</definedName>
    <definedName name="OSRRefE21_1_2x" localSheetId="52">'330'!$N$53:$O$53</definedName>
    <definedName name="OSRRefE21_1_2x" localSheetId="57">'331'!$N$93:$O$93</definedName>
    <definedName name="OSRRefE21_1_2x" localSheetId="60">'332'!$N$45:$O$45</definedName>
    <definedName name="OSRRefE21_1_2x" localSheetId="74">'405'!$N$34:$O$34</definedName>
    <definedName name="OSRRefE21_1_2x" localSheetId="76">'411'!$N$31:$O$31</definedName>
    <definedName name="OSRRefE21_1_2x" localSheetId="77">'412'!$N$32:$O$32</definedName>
    <definedName name="OSRRefE21_1_2x" localSheetId="78">'413'!$N$34:$O$34</definedName>
    <definedName name="OSRRefE21_1_2x" localSheetId="79">'414'!$N$36:$O$36</definedName>
    <definedName name="OSRRefE21_1_2x" localSheetId="80">'415'!$N$38:$O$38</definedName>
    <definedName name="OSRRefE21_1_2x" localSheetId="81">'418'!$N$34:$O$34</definedName>
    <definedName name="OSRRefE21_1_2x" localSheetId="83">'423'!$N$30:$O$30</definedName>
    <definedName name="OSRRefE21_1_2x" localSheetId="88">'430'!$N$31:$O$31</definedName>
    <definedName name="OSRRefE21_1_2x" localSheetId="89">'433'!$N$39:$O$39</definedName>
    <definedName name="OSRRefE21_1_2x" localSheetId="91">'444'!$N$39:$O$39</definedName>
    <definedName name="OSRRefE21_1_2x" localSheetId="92">'450'!$N$35:$O$35</definedName>
    <definedName name="OSRRefE21_1_2x" localSheetId="73">'491'!$N$41:$O$41</definedName>
    <definedName name="OSRRefE21_1_2x" localSheetId="87">'492'!$N$39:$O$39</definedName>
    <definedName name="OSRRefE21_1_2x" localSheetId="94">'501'!$N$34:$O$34</definedName>
    <definedName name="OSRRefE21_1_2x" localSheetId="39">'Div 2'!$N$33:$O$33</definedName>
    <definedName name="OSRRefE21_1_2x" localSheetId="47">'Div 3'!$N$140:$O$140</definedName>
    <definedName name="OSRRefE21_1_2x" localSheetId="71">'Div 4'!$N$44:$O$44</definedName>
    <definedName name="OSRRefE21_1_2x" localSheetId="93">'Div 5'!$N$34:$O$34</definedName>
    <definedName name="OSRRefE21_1_2x" localSheetId="62">'Div 6'!$N$65:$O$65</definedName>
    <definedName name="OSRRefE21_1_2x" localSheetId="2">Summary!$N$170:$O$170</definedName>
    <definedName name="OSRRefE21_1_3x" localSheetId="41">'201'!$N$32:$O$32</definedName>
    <definedName name="OSRRefE21_1_3x" localSheetId="42">'202'!$N$32:$O$32</definedName>
    <definedName name="OSRRefE21_1_3x" localSheetId="43">'203'!$N$33:$O$33</definedName>
    <definedName name="OSRRefE21_1_3x" localSheetId="44">'204'!$N$33:$O$33</definedName>
    <definedName name="OSRRefE21_1_3x" localSheetId="45">'205'!$N$32:$O$32</definedName>
    <definedName name="OSRRefE21_1_3x" localSheetId="46">'206'!$N$32:$O$32</definedName>
    <definedName name="OSRRefE21_1_3x" localSheetId="48">'300'!$N$137:$O$137</definedName>
    <definedName name="OSRRefE21_1_3x" localSheetId="49">'300 &amp; 317'!$N$161:$O$161</definedName>
    <definedName name="OSRRefE21_1_3x" localSheetId="50">'301'!$N$34:$O$34</definedName>
    <definedName name="OSRRefE21_1_3x" localSheetId="51">'306'!$N$32:$O$32</definedName>
    <definedName name="OSRRefE21_1_3x" localSheetId="53">'307'!$N$50:$O$50</definedName>
    <definedName name="OSRRefE21_1_3x" localSheetId="54">'308'!$N$72:$O$72</definedName>
    <definedName name="OSRRefE21_1_3x" localSheetId="65">'309'!$N$33:$O$33</definedName>
    <definedName name="OSRRefE21_1_3x" localSheetId="64">'310'!$N$42:$O$42</definedName>
    <definedName name="OSRRefE21_1_3x" localSheetId="72">'310 &amp; 491'!$N$48:$O$48</definedName>
    <definedName name="OSRRefE21_1_3x" localSheetId="55">'311'!$N$71:$O$71</definedName>
    <definedName name="OSRRefE21_1_3x" localSheetId="66">'313'!$N$37:$O$37</definedName>
    <definedName name="OSRRefE21_1_3x" localSheetId="58">'315'!$N$93:$O$93</definedName>
    <definedName name="OSRRefE21_1_3x" localSheetId="61">'316'!$N$44:$O$44</definedName>
    <definedName name="OSRRefE21_1_3x" localSheetId="63">'317'!$N$66:$O$66</definedName>
    <definedName name="OSRRefE21_1_3x" localSheetId="67">'321'!$N$36:$O$36</definedName>
    <definedName name="OSRRefE21_1_3x" localSheetId="68">'322'!$N$34:$O$34</definedName>
    <definedName name="OSRRefE21_1_3x" localSheetId="56">'324'!$N$38:$O$38</definedName>
    <definedName name="OSRRefE21_1_3x" localSheetId="69">'325'!$N$33:$O$33</definedName>
    <definedName name="OSRRefE21_1_3x" localSheetId="59">'326'!$N$60:$O$60</definedName>
    <definedName name="OSRRefE21_1_3x" localSheetId="52">'330'!$N$54:$O$54</definedName>
    <definedName name="OSRRefE21_1_3x" localSheetId="57">'331'!$N$94:$O$94</definedName>
    <definedName name="OSRRefE21_1_3x" localSheetId="60">'332'!$N$46:$O$46</definedName>
    <definedName name="OSRRefE21_1_3x" localSheetId="74">'405'!$N$35:$O$35</definedName>
    <definedName name="OSRRefE21_1_3x" localSheetId="76">'411'!$N$32:$O$32</definedName>
    <definedName name="OSRRefE21_1_3x" localSheetId="77">'412'!$N$33:$O$33</definedName>
    <definedName name="OSRRefE21_1_3x" localSheetId="78">'413'!$N$35:$O$35</definedName>
    <definedName name="OSRRefE21_1_3x" localSheetId="79">'414'!$N$37:$O$37</definedName>
    <definedName name="OSRRefE21_1_3x" localSheetId="80">'415'!$N$39:$O$39</definedName>
    <definedName name="OSRRefE21_1_3x" localSheetId="81">'418'!$N$35:$O$35</definedName>
    <definedName name="OSRRefE21_1_3x" localSheetId="83">'423'!$N$31:$O$31</definedName>
    <definedName name="OSRRefE21_1_3x" localSheetId="88">'430'!$N$32:$O$32</definedName>
    <definedName name="OSRRefE21_1_3x" localSheetId="89">'433'!$N$40:$O$40</definedName>
    <definedName name="OSRRefE21_1_3x" localSheetId="91">'444'!$N$40:$O$40</definedName>
    <definedName name="OSRRefE21_1_3x" localSheetId="92">'450'!$N$36:$O$36</definedName>
    <definedName name="OSRRefE21_1_3x" localSheetId="73">'491'!$N$42:$O$42</definedName>
    <definedName name="OSRRefE21_1_3x" localSheetId="87">'492'!$N$40:$O$40</definedName>
    <definedName name="OSRRefE21_1_3x" localSheetId="94">'501'!$N$35:$O$35</definedName>
    <definedName name="OSRRefE21_1_3x" localSheetId="39">'Div 2'!$N$34:$O$34</definedName>
    <definedName name="OSRRefE21_1_3x" localSheetId="47">'Div 3'!$N$141:$O$141</definedName>
    <definedName name="OSRRefE21_1_3x" localSheetId="71">'Div 4'!$N$45:$O$45</definedName>
    <definedName name="OSRRefE21_1_3x" localSheetId="93">'Div 5'!$N$35:$O$35</definedName>
    <definedName name="OSRRefE21_1_3x" localSheetId="62">'Div 6'!$N$66:$O$66</definedName>
    <definedName name="OSRRefE21_1_3x" localSheetId="2">Summary!$N$171:$O$171</definedName>
    <definedName name="OSRRefE21_1_4x" localSheetId="41">'201'!$N$33:$O$33</definedName>
    <definedName name="OSRRefE21_1_4x" localSheetId="42">'202'!$N$33:$O$33</definedName>
    <definedName name="OSRRefE21_1_4x" localSheetId="43">'203'!$N$34:$O$34</definedName>
    <definedName name="OSRRefE21_1_4x" localSheetId="44">'204'!$N$34:$O$34</definedName>
    <definedName name="OSRRefE21_1_4x" localSheetId="45">'205'!$N$33:$O$33</definedName>
    <definedName name="OSRRefE21_1_4x" localSheetId="46">'206'!$N$33:$O$33</definedName>
    <definedName name="OSRRefE21_1_4x" localSheetId="48">'300'!$N$138:$O$138</definedName>
    <definedName name="OSRRefE21_1_4x" localSheetId="49">'300 &amp; 317'!$N$162:$O$162</definedName>
    <definedName name="OSRRefE21_1_4x" localSheetId="50">'301'!$N$35:$O$35</definedName>
    <definedName name="OSRRefE21_1_4x" localSheetId="51">'306'!$N$33:$O$33</definedName>
    <definedName name="OSRRefE21_1_4x" localSheetId="53">'307'!$N$51:$O$51</definedName>
    <definedName name="OSRRefE21_1_4x" localSheetId="54">'308'!$N$73:$O$73</definedName>
    <definedName name="OSRRefE21_1_4x" localSheetId="65">'309'!$N$34:$O$34</definedName>
    <definedName name="OSRRefE21_1_4x" localSheetId="64">'310'!$N$43:$O$43</definedName>
    <definedName name="OSRRefE21_1_4x" localSheetId="72">'310 &amp; 491'!$N$49:$O$49</definedName>
    <definedName name="OSRRefE21_1_4x" localSheetId="55">'311'!$N$72:$O$72</definedName>
    <definedName name="OSRRefE21_1_4x" localSheetId="66">'313'!$N$38:$O$38</definedName>
    <definedName name="OSRRefE21_1_4x" localSheetId="58">'315'!$N$94:$O$94</definedName>
    <definedName name="OSRRefE21_1_4x" localSheetId="61">'316'!$N$45:$O$45</definedName>
    <definedName name="OSRRefE21_1_4x" localSheetId="63">'317'!$N$67:$O$67</definedName>
    <definedName name="OSRRefE21_1_4x" localSheetId="67">'321'!$N$37:$O$37</definedName>
    <definedName name="OSRRefE21_1_4x" localSheetId="68">'322'!$N$35:$O$35</definedName>
    <definedName name="OSRRefE21_1_4x" localSheetId="56">'324'!$N$39:$O$39</definedName>
    <definedName name="OSRRefE21_1_4x" localSheetId="69">'325'!$N$34:$O$34</definedName>
    <definedName name="OSRRefE21_1_4x" localSheetId="59">'326'!$N$61:$O$61</definedName>
    <definedName name="OSRRefE21_1_4x" localSheetId="52">'330'!$N$55:$O$55</definedName>
    <definedName name="OSRRefE21_1_4x" localSheetId="57">'331'!$N$95:$O$95</definedName>
    <definedName name="OSRRefE21_1_4x" localSheetId="60">'332'!$N$47:$O$47</definedName>
    <definedName name="OSRRefE21_1_4x" localSheetId="74">'405'!$N$36:$O$36</definedName>
    <definedName name="OSRRefE21_1_4x" localSheetId="76">'411'!$N$33:$O$33</definedName>
    <definedName name="OSRRefE21_1_4x" localSheetId="77">'412'!$N$34:$O$34</definedName>
    <definedName name="OSRRefE21_1_4x" localSheetId="78">'413'!$N$36:$O$36</definedName>
    <definedName name="OSRRefE21_1_4x" localSheetId="79">'414'!$N$38:$O$38</definedName>
    <definedName name="OSRRefE21_1_4x" localSheetId="80">'415'!$N$40:$O$40</definedName>
    <definedName name="OSRRefE21_1_4x" localSheetId="81">'418'!$N$36:$O$36</definedName>
    <definedName name="OSRRefE21_1_4x" localSheetId="83">'423'!$N$32:$O$32</definedName>
    <definedName name="OSRRefE21_1_4x" localSheetId="88">'430'!$N$33:$O$33</definedName>
    <definedName name="OSRRefE21_1_4x" localSheetId="89">'433'!$N$41:$O$41</definedName>
    <definedName name="OSRRefE21_1_4x" localSheetId="91">'444'!$N$41:$O$41</definedName>
    <definedName name="OSRRefE21_1_4x" localSheetId="92">'450'!$N$37:$O$37</definedName>
    <definedName name="OSRRefE21_1_4x" localSheetId="73">'491'!$N$43:$O$43</definedName>
    <definedName name="OSRRefE21_1_4x" localSheetId="87">'492'!$N$41:$O$41</definedName>
    <definedName name="OSRRefE21_1_4x" localSheetId="94">'501'!$N$36:$O$36</definedName>
    <definedName name="OSRRefE21_1_4x" localSheetId="39">'Div 2'!$N$35:$O$35</definedName>
    <definedName name="OSRRefE21_1_4x" localSheetId="47">'Div 3'!$N$142:$O$142</definedName>
    <definedName name="OSRRefE21_1_4x" localSheetId="71">'Div 4'!$N$46:$O$46</definedName>
    <definedName name="OSRRefE21_1_4x" localSheetId="93">'Div 5'!$N$36:$O$36</definedName>
    <definedName name="OSRRefE21_1_4x" localSheetId="62">'Div 6'!$N$67:$O$67</definedName>
    <definedName name="OSRRefE21_1_4x" localSheetId="2">Summary!$N$172:$O$172</definedName>
    <definedName name="OSRRefE21_1_5x" localSheetId="41">'201'!$N$34:$O$34</definedName>
    <definedName name="OSRRefE21_1_5x" localSheetId="42">'202'!$N$34:$O$34</definedName>
    <definedName name="OSRRefE21_1_5x" localSheetId="43">'203'!$N$35:$O$35</definedName>
    <definedName name="OSRRefE21_1_5x" localSheetId="44">'204'!$N$35:$O$35</definedName>
    <definedName name="OSRRefE21_1_5x" localSheetId="45">'205'!$N$34:$O$34</definedName>
    <definedName name="OSRRefE21_1_5x" localSheetId="46">'206'!$N$34:$O$34</definedName>
    <definedName name="OSRRefE21_1_5x" localSheetId="48">'300'!$N$139:$O$139</definedName>
    <definedName name="OSRRefE21_1_5x" localSheetId="49">'300 &amp; 317'!$N$163:$O$163</definedName>
    <definedName name="OSRRefE21_1_5x" localSheetId="50">'301'!$N$36:$O$36</definedName>
    <definedName name="OSRRefE21_1_5x" localSheetId="51">'306'!$N$34:$O$34</definedName>
    <definedName name="OSRRefE21_1_5x" localSheetId="53">'307'!$N$52:$O$52</definedName>
    <definedName name="OSRRefE21_1_5x" localSheetId="54">'308'!$N$74:$O$74</definedName>
    <definedName name="OSRRefE21_1_5x" localSheetId="65">'309'!$N$35:$O$35</definedName>
    <definedName name="OSRRefE21_1_5x" localSheetId="64">'310'!$N$44:$O$44</definedName>
    <definedName name="OSRRefE21_1_5x" localSheetId="72">'310 &amp; 491'!$N$50:$O$50</definedName>
    <definedName name="OSRRefE21_1_5x" localSheetId="55">'311'!$N$73:$O$73</definedName>
    <definedName name="OSRRefE21_1_5x" localSheetId="66">'313'!$N$39:$O$39</definedName>
    <definedName name="OSRRefE21_1_5x" localSheetId="58">'315'!$N$95:$O$95</definedName>
    <definedName name="OSRRefE21_1_5x" localSheetId="61">'316'!$N$46:$O$46</definedName>
    <definedName name="OSRRefE21_1_5x" localSheetId="63">'317'!$N$68:$O$68</definedName>
    <definedName name="OSRRefE21_1_5x" localSheetId="67">'321'!$N$38:$O$38</definedName>
    <definedName name="OSRRefE21_1_5x" localSheetId="68">'322'!$N$36:$O$36</definedName>
    <definedName name="OSRRefE21_1_5x" localSheetId="56">'324'!$N$40:$O$40</definedName>
    <definedName name="OSRRefE21_1_5x" localSheetId="69">'325'!$N$35:$O$35</definedName>
    <definedName name="OSRRefE21_1_5x" localSheetId="59">'326'!$N$62:$O$62</definedName>
    <definedName name="OSRRefE21_1_5x" localSheetId="52">'330'!$N$56:$O$56</definedName>
    <definedName name="OSRRefE21_1_5x" localSheetId="57">'331'!$N$96:$O$96</definedName>
    <definedName name="OSRRefE21_1_5x" localSheetId="60">'332'!$N$48:$O$48</definedName>
    <definedName name="OSRRefE21_1_5x" localSheetId="74">'405'!$N$37:$O$37</definedName>
    <definedName name="OSRRefE21_1_5x" localSheetId="76">'411'!$N$34:$O$34</definedName>
    <definedName name="OSRRefE21_1_5x" localSheetId="77">'412'!$N$35:$O$35</definedName>
    <definedName name="OSRRefE21_1_5x" localSheetId="78">'413'!$N$37:$O$37</definedName>
    <definedName name="OSRRefE21_1_5x" localSheetId="79">'414'!$N$39:$O$39</definedName>
    <definedName name="OSRRefE21_1_5x" localSheetId="80">'415'!$N$41:$O$41</definedName>
    <definedName name="OSRRefE21_1_5x" localSheetId="81">'418'!$N$37:$O$37</definedName>
    <definedName name="OSRRefE21_1_5x" localSheetId="83">'423'!$N$33:$O$33</definedName>
    <definedName name="OSRRefE21_1_5x" localSheetId="88">'430'!$N$34:$O$34</definedName>
    <definedName name="OSRRefE21_1_5x" localSheetId="89">'433'!$N$42:$O$42</definedName>
    <definedName name="OSRRefE21_1_5x" localSheetId="91">'444'!$N$42:$O$42</definedName>
    <definedName name="OSRRefE21_1_5x" localSheetId="92">'450'!$N$38:$O$38</definedName>
    <definedName name="OSRRefE21_1_5x" localSheetId="73">'491'!$N$44:$O$44</definedName>
    <definedName name="OSRRefE21_1_5x" localSheetId="87">'492'!$N$42:$O$42</definedName>
    <definedName name="OSRRefE21_1_5x" localSheetId="94">'501'!$N$37:$O$37</definedName>
    <definedName name="OSRRefE21_1_5x" localSheetId="39">'Div 2'!$N$36:$O$36</definedName>
    <definedName name="OSRRefE21_1_5x" localSheetId="47">'Div 3'!$N$143:$O$143</definedName>
    <definedName name="OSRRefE21_1_5x" localSheetId="71">'Div 4'!$N$47:$O$47</definedName>
    <definedName name="OSRRefE21_1_5x" localSheetId="93">'Div 5'!$N$37:$O$37</definedName>
    <definedName name="OSRRefE21_1_5x" localSheetId="62">'Div 6'!$N$68:$O$68</definedName>
    <definedName name="OSRRefE21_1_5x" localSheetId="2">Summary!$N$173:$O$173</definedName>
    <definedName name="OSRRefE21_1_6x" localSheetId="41">'201'!$N$35:$O$35</definedName>
    <definedName name="OSRRefE21_1_6x" localSheetId="42">'202'!$N$35:$O$35</definedName>
    <definedName name="OSRRefE21_1_6x" localSheetId="43">'203'!$N$36:$O$36</definedName>
    <definedName name="OSRRefE21_1_6x" localSheetId="44">'204'!$N$36:$O$36</definedName>
    <definedName name="OSRRefE21_1_6x" localSheetId="45">'205'!$N$35:$O$35</definedName>
    <definedName name="OSRRefE21_1_6x" localSheetId="46">'206'!$N$35:$O$35</definedName>
    <definedName name="OSRRefE21_1_6x" localSheetId="48">'300'!$N$140:$O$140</definedName>
    <definedName name="OSRRefE21_1_6x" localSheetId="49">'300 &amp; 317'!$N$164:$O$164</definedName>
    <definedName name="OSRRefE21_1_6x" localSheetId="50">'301'!$N$37:$O$37</definedName>
    <definedName name="OSRRefE21_1_6x" localSheetId="51">'306'!$N$35:$O$35</definedName>
    <definedName name="OSRRefE21_1_6x" localSheetId="53">'307'!$N$53:$O$53</definedName>
    <definedName name="OSRRefE21_1_6x" localSheetId="54">'308'!$N$75:$O$75</definedName>
    <definedName name="OSRRefE21_1_6x" localSheetId="65">'309'!$N$36:$O$36</definedName>
    <definedName name="OSRRefE21_1_6x" localSheetId="64">'310'!$N$45:$O$45</definedName>
    <definedName name="OSRRefE21_1_6x" localSheetId="72">'310 &amp; 491'!$N$51:$O$51</definedName>
    <definedName name="OSRRefE21_1_6x" localSheetId="55">'311'!$N$74:$O$74</definedName>
    <definedName name="OSRRefE21_1_6x" localSheetId="66">'313'!$N$40:$O$40</definedName>
    <definedName name="OSRRefE21_1_6x" localSheetId="58">'315'!$N$96:$O$96</definedName>
    <definedName name="OSRRefE21_1_6x" localSheetId="61">'316'!$N$47:$O$47</definedName>
    <definedName name="OSRRefE21_1_6x" localSheetId="63">'317'!$N$69:$O$69</definedName>
    <definedName name="OSRRefE21_1_6x" localSheetId="67">'321'!$N$39:$O$39</definedName>
    <definedName name="OSRRefE21_1_6x" localSheetId="68">'322'!$N$37:$O$37</definedName>
    <definedName name="OSRRefE21_1_6x" localSheetId="56">'324'!$N$41:$O$41</definedName>
    <definedName name="OSRRefE21_1_6x" localSheetId="69">'325'!$N$36:$O$36</definedName>
    <definedName name="OSRRefE21_1_6x" localSheetId="59">'326'!$N$63:$O$63</definedName>
    <definedName name="OSRRefE21_1_6x" localSheetId="52">'330'!$N$57:$O$57</definedName>
    <definedName name="OSRRefE21_1_6x" localSheetId="57">'331'!$N$97:$O$97</definedName>
    <definedName name="OSRRefE21_1_6x" localSheetId="60">'332'!$N$49:$O$49</definedName>
    <definedName name="OSRRefE21_1_6x" localSheetId="74">'405'!$N$38:$O$38</definedName>
    <definedName name="OSRRefE21_1_6x" localSheetId="76">'411'!$N$35:$O$35</definedName>
    <definedName name="OSRRefE21_1_6x" localSheetId="77">'412'!$N$36:$O$36</definedName>
    <definedName name="OSRRefE21_1_6x" localSheetId="78">'413'!$N$38:$O$38</definedName>
    <definedName name="OSRRefE21_1_6x" localSheetId="79">'414'!$N$40:$O$40</definedName>
    <definedName name="OSRRefE21_1_6x" localSheetId="80">'415'!$N$42:$O$42</definedName>
    <definedName name="OSRRefE21_1_6x" localSheetId="81">'418'!$N$38:$O$38</definedName>
    <definedName name="OSRRefE21_1_6x" localSheetId="83">'423'!$N$34:$O$34</definedName>
    <definedName name="OSRRefE21_1_6x" localSheetId="88">'430'!$N$35:$O$35</definedName>
    <definedName name="OSRRefE21_1_6x" localSheetId="89">'433'!$N$43:$O$43</definedName>
    <definedName name="OSRRefE21_1_6x" localSheetId="91">'444'!$N$43:$O$43</definedName>
    <definedName name="OSRRefE21_1_6x" localSheetId="92">'450'!$N$39:$O$39</definedName>
    <definedName name="OSRRefE21_1_6x" localSheetId="73">'491'!$N$45:$O$45</definedName>
    <definedName name="OSRRefE21_1_6x" localSheetId="87">'492'!$N$43:$O$43</definedName>
    <definedName name="OSRRefE21_1_6x" localSheetId="94">'501'!$N$38:$O$38</definedName>
    <definedName name="OSRRefE21_1_6x" localSheetId="39">'Div 2'!$N$37:$O$37</definedName>
    <definedName name="OSRRefE21_1_6x" localSheetId="47">'Div 3'!$N$144:$O$144</definedName>
    <definedName name="OSRRefE21_1_6x" localSheetId="71">'Div 4'!$N$48:$O$48</definedName>
    <definedName name="OSRRefE21_1_6x" localSheetId="93">'Div 5'!$N$38:$O$38</definedName>
    <definedName name="OSRRefE21_1_6x" localSheetId="62">'Div 6'!$N$69:$O$69</definedName>
    <definedName name="OSRRefE21_1_6x" localSheetId="2">Summary!$N$174:$O$174</definedName>
    <definedName name="OSRRefE21_1_7x" localSheetId="41">'201'!$N$36:$O$36</definedName>
    <definedName name="OSRRefE21_1_7x" localSheetId="42">'202'!$N$36:$O$36</definedName>
    <definedName name="OSRRefE21_1_7x" localSheetId="43">'203'!$N$37:$O$37</definedName>
    <definedName name="OSRRefE21_1_7x" localSheetId="44">'204'!$N$37:$O$37</definedName>
    <definedName name="OSRRefE21_1_7x" localSheetId="45">'205'!$N$36:$O$36</definedName>
    <definedName name="OSRRefE21_1_7x" localSheetId="46">'206'!$N$36:$O$36</definedName>
    <definedName name="OSRRefE21_1_7x" localSheetId="48">'300'!$N$141:$O$141</definedName>
    <definedName name="OSRRefE21_1_7x" localSheetId="49">'300 &amp; 317'!$N$165:$O$165</definedName>
    <definedName name="OSRRefE21_1_7x" localSheetId="50">'301'!$N$38:$O$38</definedName>
    <definedName name="OSRRefE21_1_7x" localSheetId="51">'306'!$N$36:$O$36</definedName>
    <definedName name="OSRRefE21_1_7x" localSheetId="53">'307'!$N$54:$O$54</definedName>
    <definedName name="OSRRefE21_1_7x" localSheetId="54">'308'!$N$76:$O$76</definedName>
    <definedName name="OSRRefE21_1_7x" localSheetId="65">'309'!$N$37:$O$37</definedName>
    <definedName name="OSRRefE21_1_7x" localSheetId="64">'310'!$N$46:$O$46</definedName>
    <definedName name="OSRRefE21_1_7x" localSheetId="72">'310 &amp; 491'!$N$52:$O$52</definedName>
    <definedName name="OSRRefE21_1_7x" localSheetId="55">'311'!$N$75:$O$75</definedName>
    <definedName name="OSRRefE21_1_7x" localSheetId="66">'313'!$N$41:$O$41</definedName>
    <definedName name="OSRRefE21_1_7x" localSheetId="58">'315'!$N$97:$O$97</definedName>
    <definedName name="OSRRefE21_1_7x" localSheetId="61">'316'!$N$48:$O$48</definedName>
    <definedName name="OSRRefE21_1_7x" localSheetId="63">'317'!$N$70:$O$70</definedName>
    <definedName name="OSRRefE21_1_7x" localSheetId="67">'321'!$N$40:$O$40</definedName>
    <definedName name="OSRRefE21_1_7x" localSheetId="68">'322'!$N$38:$O$38</definedName>
    <definedName name="OSRRefE21_1_7x" localSheetId="56">'324'!$N$42:$O$42</definedName>
    <definedName name="OSRRefE21_1_7x" localSheetId="69">'325'!$N$37:$O$37</definedName>
    <definedName name="OSRRefE21_1_7x" localSheetId="59">'326'!$N$64:$O$64</definedName>
    <definedName name="OSRRefE21_1_7x" localSheetId="52">'330'!$N$58:$O$58</definedName>
    <definedName name="OSRRefE21_1_7x" localSheetId="57">'331'!$N$98:$O$98</definedName>
    <definedName name="OSRRefE21_1_7x" localSheetId="60">'332'!$N$50:$O$50</definedName>
    <definedName name="OSRRefE21_1_7x" localSheetId="74">'405'!$N$39:$O$39</definedName>
    <definedName name="OSRRefE21_1_7x" localSheetId="76">'411'!$N$36:$O$36</definedName>
    <definedName name="OSRRefE21_1_7x" localSheetId="77">'412'!$N$37:$O$37</definedName>
    <definedName name="OSRRefE21_1_7x" localSheetId="78">'413'!$N$39:$O$39</definedName>
    <definedName name="OSRRefE21_1_7x" localSheetId="79">'414'!$N$41:$O$41</definedName>
    <definedName name="OSRRefE21_1_7x" localSheetId="80">'415'!$N$43:$O$43</definedName>
    <definedName name="OSRRefE21_1_7x" localSheetId="81">'418'!$N$39:$O$39</definedName>
    <definedName name="OSRRefE21_1_7x" localSheetId="83">'423'!$N$35:$O$35</definedName>
    <definedName name="OSRRefE21_1_7x" localSheetId="88">'430'!$N$36:$O$36</definedName>
    <definedName name="OSRRefE21_1_7x" localSheetId="89">'433'!$N$44:$O$44</definedName>
    <definedName name="OSRRefE21_1_7x" localSheetId="91">'444'!$N$44:$O$44</definedName>
    <definedName name="OSRRefE21_1_7x" localSheetId="92">'450'!$N$40:$O$40</definedName>
    <definedName name="OSRRefE21_1_7x" localSheetId="73">'491'!$N$46:$O$46</definedName>
    <definedName name="OSRRefE21_1_7x" localSheetId="87">'492'!$N$44:$O$44</definedName>
    <definedName name="OSRRefE21_1_7x" localSheetId="94">'501'!$N$39:$O$39</definedName>
    <definedName name="OSRRefE21_1_7x" localSheetId="39">'Div 2'!$N$38:$O$38</definedName>
    <definedName name="OSRRefE21_1_7x" localSheetId="47">'Div 3'!$N$145:$O$145</definedName>
    <definedName name="OSRRefE21_1_7x" localSheetId="71">'Div 4'!$N$49:$O$49</definedName>
    <definedName name="OSRRefE21_1_7x" localSheetId="93">'Div 5'!$N$39:$O$39</definedName>
    <definedName name="OSRRefE21_1_7x" localSheetId="62">'Div 6'!$N$70:$O$70</definedName>
    <definedName name="OSRRefE21_1_7x" localSheetId="2">Summary!$N$175:$O$175</definedName>
    <definedName name="OSRRefE21_1_8x" localSheetId="41">'201'!$N$37:$O$37</definedName>
    <definedName name="OSRRefE21_1_8x" localSheetId="42">'202'!$N$37:$O$37</definedName>
    <definedName name="OSRRefE21_1_8x" localSheetId="43">'203'!$N$38:$O$38</definedName>
    <definedName name="OSRRefE21_1_8x" localSheetId="44">'204'!$N$38:$O$38</definedName>
    <definedName name="OSRRefE21_1_8x" localSheetId="45">'205'!$N$37:$O$37</definedName>
    <definedName name="OSRRefE21_1_8x" localSheetId="46">'206'!$N$37:$O$37</definedName>
    <definedName name="OSRRefE21_1_8x" localSheetId="48">'300'!$N$142:$O$142</definedName>
    <definedName name="OSRRefE21_1_8x" localSheetId="49">'300 &amp; 317'!$N$166:$O$166</definedName>
    <definedName name="OSRRefE21_1_8x" localSheetId="50">'301'!$N$39:$O$39</definedName>
    <definedName name="OSRRefE21_1_8x" localSheetId="51">'306'!$N$37:$O$37</definedName>
    <definedName name="OSRRefE21_1_8x" localSheetId="53">'307'!$N$55:$O$55</definedName>
    <definedName name="OSRRefE21_1_8x" localSheetId="54">'308'!$N$77:$O$77</definedName>
    <definedName name="OSRRefE21_1_8x" localSheetId="65">'309'!$N$38:$O$38</definedName>
    <definedName name="OSRRefE21_1_8x" localSheetId="64">'310'!$N$47:$O$47</definedName>
    <definedName name="OSRRefE21_1_8x" localSheetId="72">'310 &amp; 491'!$N$53:$O$53</definedName>
    <definedName name="OSRRefE21_1_8x" localSheetId="55">'311'!$N$76:$O$76</definedName>
    <definedName name="OSRRefE21_1_8x" localSheetId="66">'313'!$N$42:$O$42</definedName>
    <definedName name="OSRRefE21_1_8x" localSheetId="58">'315'!$N$98:$O$98</definedName>
    <definedName name="OSRRefE21_1_8x" localSheetId="61">'316'!$N$49:$O$49</definedName>
    <definedName name="OSRRefE21_1_8x" localSheetId="63">'317'!$N$71:$O$71</definedName>
    <definedName name="OSRRefE21_1_8x" localSheetId="67">'321'!$N$41:$O$41</definedName>
    <definedName name="OSRRefE21_1_8x" localSheetId="68">'322'!$N$39:$O$39</definedName>
    <definedName name="OSRRefE21_1_8x" localSheetId="56">'324'!$N$43:$O$43</definedName>
    <definedName name="OSRRefE21_1_8x" localSheetId="69">'325'!$N$38:$O$38</definedName>
    <definedName name="OSRRefE21_1_8x" localSheetId="59">'326'!$N$65:$O$65</definedName>
    <definedName name="OSRRefE21_1_8x" localSheetId="52">'330'!$N$59:$O$59</definedName>
    <definedName name="OSRRefE21_1_8x" localSheetId="57">'331'!$N$99:$O$99</definedName>
    <definedName name="OSRRefE21_1_8x" localSheetId="60">'332'!$N$51:$O$51</definedName>
    <definedName name="OSRRefE21_1_8x" localSheetId="74">'405'!$N$40:$O$40</definedName>
    <definedName name="OSRRefE21_1_8x" localSheetId="76">'411'!$N$37:$O$37</definedName>
    <definedName name="OSRRefE21_1_8x" localSheetId="77">'412'!$N$38:$O$38</definedName>
    <definedName name="OSRRefE21_1_8x" localSheetId="78">'413'!$N$40:$O$40</definedName>
    <definedName name="OSRRefE21_1_8x" localSheetId="79">'414'!$N$42:$O$42</definedName>
    <definedName name="OSRRefE21_1_8x" localSheetId="80">'415'!$N$44:$O$44</definedName>
    <definedName name="OSRRefE21_1_8x" localSheetId="81">'418'!$N$40:$O$40</definedName>
    <definedName name="OSRRefE21_1_8x" localSheetId="83">'423'!$N$36:$O$36</definedName>
    <definedName name="OSRRefE21_1_8x" localSheetId="88">'430'!$N$37:$O$37</definedName>
    <definedName name="OSRRefE21_1_8x" localSheetId="89">'433'!$N$45:$O$45</definedName>
    <definedName name="OSRRefE21_1_8x" localSheetId="91">'444'!$N$45:$O$45</definedName>
    <definedName name="OSRRefE21_1_8x" localSheetId="92">'450'!$N$41:$O$41</definedName>
    <definedName name="OSRRefE21_1_8x" localSheetId="73">'491'!$N$47:$O$47</definedName>
    <definedName name="OSRRefE21_1_8x" localSheetId="87">'492'!$N$45:$O$45</definedName>
    <definedName name="OSRRefE21_1_8x" localSheetId="94">'501'!$N$40:$O$40</definedName>
    <definedName name="OSRRefE21_1_8x" localSheetId="39">'Div 2'!$N$39:$O$39</definedName>
    <definedName name="OSRRefE21_1_8x" localSheetId="47">'Div 3'!$N$146:$O$146</definedName>
    <definedName name="OSRRefE21_1_8x" localSheetId="71">'Div 4'!$N$50:$O$50</definedName>
    <definedName name="OSRRefE21_1_8x" localSheetId="93">'Div 5'!$N$40:$O$40</definedName>
    <definedName name="OSRRefE21_1_8x" localSheetId="62">'Div 6'!$N$71:$O$71</definedName>
    <definedName name="OSRRefE21_1_8x" localSheetId="2">Summary!$N$176:$O$176</definedName>
    <definedName name="OSRRefE21_1_9x" localSheetId="41">'201'!$N$38:$O$38</definedName>
    <definedName name="OSRRefE21_1_9x" localSheetId="42">'202'!$N$38:$O$38</definedName>
    <definedName name="OSRRefE21_1_9x" localSheetId="43">'203'!$N$39:$O$39</definedName>
    <definedName name="OSRRefE21_1_9x" localSheetId="44">'204'!$N$39:$O$39</definedName>
    <definedName name="OSRRefE21_1_9x" localSheetId="45">'205'!$N$38:$O$38</definedName>
    <definedName name="OSRRefE21_1_9x" localSheetId="46">'206'!$N$38:$O$38</definedName>
    <definedName name="OSRRefE21_1_9x" localSheetId="48">'300'!$N$143:$O$143</definedName>
    <definedName name="OSRRefE21_1_9x" localSheetId="49">'300 &amp; 317'!$N$167:$O$167</definedName>
    <definedName name="OSRRefE21_1_9x" localSheetId="50">'301'!$N$40:$O$40</definedName>
    <definedName name="OSRRefE21_1_9x" localSheetId="51">'306'!$N$38:$O$38</definedName>
    <definedName name="OSRRefE21_1_9x" localSheetId="53">'307'!$N$56:$O$56</definedName>
    <definedName name="OSRRefE21_1_9x" localSheetId="54">'308'!$N$78:$O$78</definedName>
    <definedName name="OSRRefE21_1_9x" localSheetId="65">'309'!$N$39:$O$39</definedName>
    <definedName name="OSRRefE21_1_9x" localSheetId="64">'310'!$N$48:$O$48</definedName>
    <definedName name="OSRRefE21_1_9x" localSheetId="72">'310 &amp; 491'!$N$54:$O$54</definedName>
    <definedName name="OSRRefE21_1_9x" localSheetId="55">'311'!$N$77:$O$77</definedName>
    <definedName name="OSRRefE21_1_9x" localSheetId="66">'313'!$N$43:$O$43</definedName>
    <definedName name="OSRRefE21_1_9x" localSheetId="58">'315'!$N$99:$O$99</definedName>
    <definedName name="OSRRefE21_1_9x" localSheetId="61">'316'!$N$50:$O$50</definedName>
    <definedName name="OSRRefE21_1_9x" localSheetId="63">'317'!$N$72:$O$72</definedName>
    <definedName name="OSRRefE21_1_9x" localSheetId="67">'321'!$N$42:$O$42</definedName>
    <definedName name="OSRRefE21_1_9x" localSheetId="68">'322'!$N$40:$O$40</definedName>
    <definedName name="OSRRefE21_1_9x" localSheetId="56">'324'!$N$44:$O$44</definedName>
    <definedName name="OSRRefE21_1_9x" localSheetId="69">'325'!$N$39:$O$39</definedName>
    <definedName name="OSRRefE21_1_9x" localSheetId="59">'326'!$N$66:$O$66</definedName>
    <definedName name="OSRRefE21_1_9x" localSheetId="52">'330'!$N$60:$O$60</definedName>
    <definedName name="OSRRefE21_1_9x" localSheetId="57">'331'!$N$100:$O$100</definedName>
    <definedName name="OSRRefE21_1_9x" localSheetId="60">'332'!$N$52:$O$52</definedName>
    <definedName name="OSRRefE21_1_9x" localSheetId="74">'405'!$N$41:$O$41</definedName>
    <definedName name="OSRRefE21_1_9x" localSheetId="76">'411'!$N$38:$O$38</definedName>
    <definedName name="OSRRefE21_1_9x" localSheetId="77">'412'!$N$39:$O$39</definedName>
    <definedName name="OSRRefE21_1_9x" localSheetId="78">'413'!$N$41:$O$41</definedName>
    <definedName name="OSRRefE21_1_9x" localSheetId="79">'414'!$N$43:$O$43</definedName>
    <definedName name="OSRRefE21_1_9x" localSheetId="80">'415'!$N$45:$O$45</definedName>
    <definedName name="OSRRefE21_1_9x" localSheetId="81">'418'!$N$41:$O$41</definedName>
    <definedName name="OSRRefE21_1_9x" localSheetId="83">'423'!$N$37:$O$37</definedName>
    <definedName name="OSRRefE21_1_9x" localSheetId="88">'430'!$N$38:$O$38</definedName>
    <definedName name="OSRRefE21_1_9x" localSheetId="89">'433'!$N$46:$O$46</definedName>
    <definedName name="OSRRefE21_1_9x" localSheetId="91">'444'!$N$46:$O$46</definedName>
    <definedName name="OSRRefE21_1_9x" localSheetId="92">'450'!$N$42:$O$42</definedName>
    <definedName name="OSRRefE21_1_9x" localSheetId="73">'491'!$N$48:$O$48</definedName>
    <definedName name="OSRRefE21_1_9x" localSheetId="87">'492'!$N$46:$O$46</definedName>
    <definedName name="OSRRefE21_1_9x" localSheetId="94">'501'!$N$41:$O$41</definedName>
    <definedName name="OSRRefE21_1_9x" localSheetId="39">'Div 2'!$N$40:$O$40</definedName>
    <definedName name="OSRRefE21_1_9x" localSheetId="47">'Div 3'!$N$147:$O$147</definedName>
    <definedName name="OSRRefE21_1_9x" localSheetId="71">'Div 4'!$N$51:$O$51</definedName>
    <definedName name="OSRRefE21_1_9x" localSheetId="93">'Div 5'!$N$41:$O$41</definedName>
    <definedName name="OSRRefE21_1_9x" localSheetId="62">'Div 6'!$N$72:$O$72</definedName>
    <definedName name="OSRRefE21_1_9x" localSheetId="2">Summary!$N$177:$O$177</definedName>
    <definedName name="OSRRefE21_10_0x" localSheetId="41">'201'!$N$56:$O$56</definedName>
    <definedName name="OSRRefE21_10_0x" localSheetId="42">'202'!$N$60:$O$60</definedName>
    <definedName name="OSRRefE21_10_0x" localSheetId="43">'203'!$N$60:$O$60</definedName>
    <definedName name="OSRRefE21_10_0x" localSheetId="44">'204'!$N$60:$O$60</definedName>
    <definedName name="OSRRefE21_10_0x" localSheetId="48">'300'!$N$164:$O$164</definedName>
    <definedName name="OSRRefE21_10_0x" localSheetId="49">'300 &amp; 317'!$N$188:$O$188</definedName>
    <definedName name="OSRRefE21_10_0x" localSheetId="50">'301'!$N$60:$O$60</definedName>
    <definedName name="OSRRefE21_10_0x" localSheetId="53">'307'!$N$78:$O$78</definedName>
    <definedName name="OSRRefE21_10_0x" localSheetId="54">'308'!$N$101:$O$101</definedName>
    <definedName name="OSRRefE21_10_0x" localSheetId="65">'309'!$N$60:$O$60</definedName>
    <definedName name="OSRRefE21_10_0x" localSheetId="64">'310'!$N$67:$O$67</definedName>
    <definedName name="OSRRefE21_10_0x" localSheetId="72">'310 &amp; 491'!$N$75:$O$75</definedName>
    <definedName name="OSRRefE21_10_0x" localSheetId="55">'311'!$N$100:$O$100</definedName>
    <definedName name="OSRRefE21_10_0x" localSheetId="58">'315'!$N$120:$O$120</definedName>
    <definedName name="OSRRefE21_10_0x" localSheetId="61">'316'!$N$75:$O$75</definedName>
    <definedName name="OSRRefE21_10_0x" localSheetId="63">'317'!$N$92:$O$92</definedName>
    <definedName name="OSRRefE21_10_0x" localSheetId="67">'321'!$N$63:$O$63</definedName>
    <definedName name="OSRRefE21_10_0x" localSheetId="68">'322'!$N$62:$O$62</definedName>
    <definedName name="OSRRefE21_10_0x" localSheetId="69">'325'!$N$58:$O$58</definedName>
    <definedName name="OSRRefE21_10_0x" localSheetId="59">'326'!$N$84:$O$84</definedName>
    <definedName name="OSRRefE21_10_0x" localSheetId="52">'330'!$N$82:$O$82</definedName>
    <definedName name="OSRRefE21_10_0x" localSheetId="57">'331'!$N$120:$O$120</definedName>
    <definedName name="OSRRefE21_10_0x" localSheetId="60">'332'!$N$77:$O$77</definedName>
    <definedName name="OSRRefE21_10_0x" localSheetId="74">'405'!$N$61:$O$61</definedName>
    <definedName name="OSRRefE21_10_0x" localSheetId="76">'411'!$N$60:$O$60</definedName>
    <definedName name="OSRRefE21_10_0x" localSheetId="77">'412'!$N$59:$O$59</definedName>
    <definedName name="OSRRefE21_10_0x" localSheetId="79">'414'!$N$62:$O$62</definedName>
    <definedName name="OSRRefE21_10_0x" localSheetId="80">'415'!$N$64:$O$64</definedName>
    <definedName name="OSRRefE21_10_0x" localSheetId="81">'418'!$N$62:$O$62</definedName>
    <definedName name="OSRRefE21_10_0x" localSheetId="89">'433'!$N$64:$O$64</definedName>
    <definedName name="OSRRefE21_10_0x" localSheetId="91">'444'!$N$64:$O$64</definedName>
    <definedName name="OSRRefE21_10_0x" localSheetId="92">'450'!$N$60:$O$60</definedName>
    <definedName name="OSRRefE21_10_0x" localSheetId="73">'491'!$N$68:$O$68</definedName>
    <definedName name="OSRRefE21_10_0x" localSheetId="87">'492'!$N$64:$O$64</definedName>
    <definedName name="OSRRefE21_10_0x" localSheetId="94">'501'!$N$62:$O$62</definedName>
    <definedName name="OSRRefE21_10_0x" localSheetId="39">'Div 2'!$N$59:$O$59</definedName>
    <definedName name="OSRRefE21_10_0x" localSheetId="47">'Div 3'!$N$168:$O$168</definedName>
    <definedName name="OSRRefE21_10_0x" localSheetId="71">'Div 4'!$N$71:$O$71</definedName>
    <definedName name="OSRRefE21_10_0x" localSheetId="93">'Div 5'!$N$62:$O$62</definedName>
    <definedName name="OSRRefE21_10_0x" localSheetId="62">'Div 6'!$N$92:$O$92</definedName>
    <definedName name="OSRRefE21_10_0x" localSheetId="2">Summary!$N$199:$O$199</definedName>
    <definedName name="OSRRefE21_10_1x" localSheetId="41">'201'!$N$57:$O$57</definedName>
    <definedName name="OSRRefE21_10_1x" localSheetId="48">'300'!$N$165:$O$165</definedName>
    <definedName name="OSRRefE21_10_1x" localSheetId="49">'300 &amp; 317'!$N$189:$O$189</definedName>
    <definedName name="OSRRefE21_10_1x" localSheetId="53">'307'!$N$79:$O$79</definedName>
    <definedName name="OSRRefE21_10_1x" localSheetId="54">'308'!$N$102:$O$102</definedName>
    <definedName name="OSRRefE21_10_1x" localSheetId="55">'311'!$N$101:$O$101</definedName>
    <definedName name="OSRRefE21_10_1x" localSheetId="67">'321'!$N$64:$O$64</definedName>
    <definedName name="OSRRefE21_10_1x" localSheetId="69">'325'!$N$59:$O$59</definedName>
    <definedName name="OSRRefE21_10_1x" localSheetId="52">'330'!$N$83:$O$83</definedName>
    <definedName name="OSRRefE21_10_1x" localSheetId="57">'331'!$N$121:$O$121</definedName>
    <definedName name="OSRRefE21_10_1x" localSheetId="76">'411'!$N$61:$O$61</definedName>
    <definedName name="OSRRefE21_10_1x" localSheetId="77">'412'!$N$60:$O$60</definedName>
    <definedName name="OSRRefE21_10_1x" localSheetId="94">'501'!$N$63:$O$63</definedName>
    <definedName name="OSRRefE21_10_1x" localSheetId="47">'Div 3'!$N$169:$O$169</definedName>
    <definedName name="OSRRefE21_10_1x" localSheetId="93">'Div 5'!$N$63:$O$63</definedName>
    <definedName name="OSRRefE21_10_1x" localSheetId="2">Summary!$N$200:$O$200</definedName>
    <definedName name="OSRRefE21_10_2x" localSheetId="53">'307'!$N$80:$O$80</definedName>
    <definedName name="OSRRefE21_10_2x" localSheetId="52">'330'!$N$84:$O$84</definedName>
    <definedName name="OSRRefE21_10_2x" localSheetId="76">'411'!$N$62:$O$62</definedName>
    <definedName name="OSRRefE21_10_2x" localSheetId="77">'412'!$N$61:$O$61</definedName>
    <definedName name="OSRRefE21_10_3x" localSheetId="76">'411'!$N$63:$O$63</definedName>
    <definedName name="OSRRefE21_10_3x" localSheetId="77">'412'!$N$62:$O$62</definedName>
    <definedName name="OSRRefE21_10x_0" localSheetId="41">'201'!$N$56:$N$57</definedName>
    <definedName name="OSRRefE21_10x_0" localSheetId="42">'202'!$N$60</definedName>
    <definedName name="OSRRefE21_10x_0" localSheetId="43">'203'!$N$60</definedName>
    <definedName name="OSRRefE21_10x_0" localSheetId="44">'204'!$N$60</definedName>
    <definedName name="OSRRefE21_10x_0" localSheetId="48">'300'!$N$164:$N$165</definedName>
    <definedName name="OSRRefE21_10x_0" localSheetId="49">'300 &amp; 317'!$N$188:$N$189</definedName>
    <definedName name="OSRRefE21_10x_0" localSheetId="50">'301'!$N$60</definedName>
    <definedName name="OSRRefE21_10x_0" localSheetId="53">'307'!$N$78:$N$80</definedName>
    <definedName name="OSRRefE21_10x_0" localSheetId="54">'308'!$N$101:$N$102</definedName>
    <definedName name="OSRRefE21_10x_0" localSheetId="65">'309'!$N$60</definedName>
    <definedName name="OSRRefE21_10x_0" localSheetId="64">'310'!$N$67</definedName>
    <definedName name="OSRRefE21_10x_0" localSheetId="72">'310 &amp; 491'!$N$75</definedName>
    <definedName name="OSRRefE21_10x_0" localSheetId="55">'311'!$N$100:$N$101</definedName>
    <definedName name="OSRRefE21_10x_0" localSheetId="58">'315'!$N$120</definedName>
    <definedName name="OSRRefE21_10x_0" localSheetId="61">'316'!$N$75</definedName>
    <definedName name="OSRRefE21_10x_0" localSheetId="63">'317'!$N$92</definedName>
    <definedName name="OSRRefE21_10x_0" localSheetId="67">'321'!$N$63:$N$64</definedName>
    <definedName name="OSRRefE21_10x_0" localSheetId="68">'322'!$N$62</definedName>
    <definedName name="OSRRefE21_10x_0" localSheetId="69">'325'!$N$58:$N$59</definedName>
    <definedName name="OSRRefE21_10x_0" localSheetId="59">'326'!$N$84</definedName>
    <definedName name="OSRRefE21_10x_0" localSheetId="52">'330'!$N$82:$N$84</definedName>
    <definedName name="OSRRefE21_10x_0" localSheetId="57">'331'!$N$120:$N$121</definedName>
    <definedName name="OSRRefE21_10x_0" localSheetId="60">'332'!$N$77</definedName>
    <definedName name="OSRRefE21_10x_0" localSheetId="74">'405'!$N$61</definedName>
    <definedName name="OSRRefE21_10x_0" localSheetId="76">'411'!$N$60:$N$63</definedName>
    <definedName name="OSRRefE21_10x_0" localSheetId="77">'412'!$N$59:$N$62</definedName>
    <definedName name="OSRRefE21_10x_0" localSheetId="79">'414'!$N$62</definedName>
    <definedName name="OSRRefE21_10x_0" localSheetId="80">'415'!$N$64</definedName>
    <definedName name="OSRRefE21_10x_0" localSheetId="81">'418'!$N$62</definedName>
    <definedName name="OSRRefE21_10x_0" localSheetId="89">'433'!$N$64</definedName>
    <definedName name="OSRRefE21_10x_0" localSheetId="91">'444'!$N$64</definedName>
    <definedName name="OSRRefE21_10x_0" localSheetId="92">'450'!$N$60</definedName>
    <definedName name="OSRRefE21_10x_0" localSheetId="73">'491'!$N$68</definedName>
    <definedName name="OSRRefE21_10x_0" localSheetId="87">'492'!$N$64</definedName>
    <definedName name="OSRRefE21_10x_0" localSheetId="94">'501'!$N$62:$N$63</definedName>
    <definedName name="OSRRefE21_10x_0" localSheetId="39">'Div 2'!$N$59</definedName>
    <definedName name="OSRRefE21_10x_0" localSheetId="47">'Div 3'!$N$168:$N$169</definedName>
    <definedName name="OSRRefE21_10x_0" localSheetId="71">'Div 4'!$N$71</definedName>
    <definedName name="OSRRefE21_10x_0" localSheetId="93">'Div 5'!$N$62:$N$63</definedName>
    <definedName name="OSRRefE21_10x_0" localSheetId="62">'Div 6'!$N$92</definedName>
    <definedName name="OSRRefE21_10x_0" localSheetId="2">Summary!$N$199:$N$200</definedName>
    <definedName name="OSRRefE21_10x_1" localSheetId="41">'201'!$O$56:$O$57</definedName>
    <definedName name="OSRRefE21_10x_1" localSheetId="42">'202'!$O$60</definedName>
    <definedName name="OSRRefE21_10x_1" localSheetId="43">'203'!$O$60</definedName>
    <definedName name="OSRRefE21_10x_1" localSheetId="44">'204'!$O$60</definedName>
    <definedName name="OSRRefE21_10x_1" localSheetId="48">'300'!$O$164:$O$165</definedName>
    <definedName name="OSRRefE21_10x_1" localSheetId="49">'300 &amp; 317'!$O$188:$O$189</definedName>
    <definedName name="OSRRefE21_10x_1" localSheetId="50">'301'!$O$60</definedName>
    <definedName name="OSRRefE21_10x_1" localSheetId="53">'307'!$O$78:$O$80</definedName>
    <definedName name="OSRRefE21_10x_1" localSheetId="54">'308'!$O$101:$O$102</definedName>
    <definedName name="OSRRefE21_10x_1" localSheetId="65">'309'!$O$60</definedName>
    <definedName name="OSRRefE21_10x_1" localSheetId="64">'310'!$O$67</definedName>
    <definedName name="OSRRefE21_10x_1" localSheetId="72">'310 &amp; 491'!$O$75</definedName>
    <definedName name="OSRRefE21_10x_1" localSheetId="55">'311'!$O$100:$O$101</definedName>
    <definedName name="OSRRefE21_10x_1" localSheetId="58">'315'!$O$120</definedName>
    <definedName name="OSRRefE21_10x_1" localSheetId="61">'316'!$O$75</definedName>
    <definedName name="OSRRefE21_10x_1" localSheetId="63">'317'!$O$92</definedName>
    <definedName name="OSRRefE21_10x_1" localSheetId="67">'321'!$O$63:$O$64</definedName>
    <definedName name="OSRRefE21_10x_1" localSheetId="68">'322'!$O$62</definedName>
    <definedName name="OSRRefE21_10x_1" localSheetId="69">'325'!$O$58:$O$59</definedName>
    <definedName name="OSRRefE21_10x_1" localSheetId="59">'326'!$O$84</definedName>
    <definedName name="OSRRefE21_10x_1" localSheetId="52">'330'!$O$82:$O$84</definedName>
    <definedName name="OSRRefE21_10x_1" localSheetId="57">'331'!$O$120:$O$121</definedName>
    <definedName name="OSRRefE21_10x_1" localSheetId="60">'332'!$O$77</definedName>
    <definedName name="OSRRefE21_10x_1" localSheetId="74">'405'!$O$61</definedName>
    <definedName name="OSRRefE21_10x_1" localSheetId="76">'411'!$O$60:$O$63</definedName>
    <definedName name="OSRRefE21_10x_1" localSheetId="77">'412'!$O$59:$O$62</definedName>
    <definedName name="OSRRefE21_10x_1" localSheetId="79">'414'!$O$62</definedName>
    <definedName name="OSRRefE21_10x_1" localSheetId="80">'415'!$O$64</definedName>
    <definedName name="OSRRefE21_10x_1" localSheetId="81">'418'!$O$62</definedName>
    <definedName name="OSRRefE21_10x_1" localSheetId="89">'433'!$O$64</definedName>
    <definedName name="OSRRefE21_10x_1" localSheetId="91">'444'!$O$64</definedName>
    <definedName name="OSRRefE21_10x_1" localSheetId="92">'450'!$O$60</definedName>
    <definedName name="OSRRefE21_10x_1" localSheetId="73">'491'!$O$68</definedName>
    <definedName name="OSRRefE21_10x_1" localSheetId="87">'492'!$O$64</definedName>
    <definedName name="OSRRefE21_10x_1" localSheetId="94">'501'!$O$62:$O$63</definedName>
    <definedName name="OSRRefE21_10x_1" localSheetId="39">'Div 2'!$O$59</definedName>
    <definedName name="OSRRefE21_10x_1" localSheetId="47">'Div 3'!$O$168:$O$169</definedName>
    <definedName name="OSRRefE21_10x_1" localSheetId="71">'Div 4'!$O$71</definedName>
    <definedName name="OSRRefE21_10x_1" localSheetId="93">'Div 5'!$O$62:$O$63</definedName>
    <definedName name="OSRRefE21_10x_1" localSheetId="62">'Div 6'!$O$92</definedName>
    <definedName name="OSRRefE21_10x_1" localSheetId="2">Summary!$O$199:$O$200</definedName>
    <definedName name="OSRRefE21_11_0x" localSheetId="41">'201'!$N$59:$O$59</definedName>
    <definedName name="OSRRefE21_11_0x" localSheetId="42">'202'!$N$62:$O$62</definedName>
    <definedName name="OSRRefE21_11_0x" localSheetId="43">'203'!$N$62:$O$62</definedName>
    <definedName name="OSRRefE21_11_0x" localSheetId="48">'300'!$N$167:$O$167</definedName>
    <definedName name="OSRRefE21_11_0x" localSheetId="49">'300 &amp; 317'!$N$191:$O$191</definedName>
    <definedName name="OSRRefE21_11_0x" localSheetId="50">'301'!$N$62:$O$62</definedName>
    <definedName name="OSRRefE21_11_0x" localSheetId="53">'307'!$N$82:$O$82</definedName>
    <definedName name="OSRRefE21_11_0x" localSheetId="54">'308'!$N$104:$O$104</definedName>
    <definedName name="OSRRefE21_11_0x" localSheetId="64">'310'!$N$69:$O$69</definedName>
    <definedName name="OSRRefE21_11_0x" localSheetId="72">'310 &amp; 491'!$N$77:$O$77</definedName>
    <definedName name="OSRRefE21_11_0x" localSheetId="55">'311'!$N$103:$O$103</definedName>
    <definedName name="OSRRefE21_11_0x" localSheetId="58">'315'!$N$122:$O$122</definedName>
    <definedName name="OSRRefE21_11_0x" localSheetId="61">'316'!$N$77:$O$77</definedName>
    <definedName name="OSRRefE21_11_0x" localSheetId="63">'317'!$N$94:$O$94</definedName>
    <definedName name="OSRRefE21_11_0x" localSheetId="67">'321'!$N$66:$O$66</definedName>
    <definedName name="OSRRefE21_11_0x" localSheetId="69">'325'!$N$61:$O$61</definedName>
    <definedName name="OSRRefE21_11_0x" localSheetId="59">'326'!$N$86:$O$86</definedName>
    <definedName name="OSRRefE21_11_0x" localSheetId="52">'330'!$N$86:$O$86</definedName>
    <definedName name="OSRRefE21_11_0x" localSheetId="57">'331'!$N$123:$O$123</definedName>
    <definedName name="OSRRefE21_11_0x" localSheetId="60">'332'!$N$79:$O$79</definedName>
    <definedName name="OSRRefE21_11_0x" localSheetId="74">'405'!$N$63:$O$63</definedName>
    <definedName name="OSRRefE21_11_0x" localSheetId="76">'411'!$N$65:$O$65</definedName>
    <definedName name="OSRRefE21_11_0x" localSheetId="77">'412'!$N$64:$O$64</definedName>
    <definedName name="OSRRefE21_11_0x" localSheetId="79">'414'!$N$64:$O$64</definedName>
    <definedName name="OSRRefE21_11_0x" localSheetId="80">'415'!$N$66:$O$66</definedName>
    <definedName name="OSRRefE21_11_0x" localSheetId="81">'418'!$N$64:$O$64</definedName>
    <definedName name="OSRRefE21_11_0x" localSheetId="89">'433'!$N$66:$O$66</definedName>
    <definedName name="OSRRefE21_11_0x" localSheetId="91">'444'!$N$66:$O$66</definedName>
    <definedName name="OSRRefE21_11_0x" localSheetId="92">'450'!$N$62:$O$62</definedName>
    <definedName name="OSRRefE21_11_0x" localSheetId="73">'491'!$N$70:$O$70</definedName>
    <definedName name="OSRRefE21_11_0x" localSheetId="87">'492'!$N$66:$O$66</definedName>
    <definedName name="OSRRefE21_11_0x" localSheetId="94">'501'!$N$65:$O$65</definedName>
    <definedName name="OSRRefE21_11_0x" localSheetId="39">'Div 2'!$N$61:$O$61</definedName>
    <definedName name="OSRRefE21_11_0x" localSheetId="47">'Div 3'!$N$171:$O$171</definedName>
    <definedName name="OSRRefE21_11_0x" localSheetId="71">'Div 4'!$N$73:$O$73</definedName>
    <definedName name="OSRRefE21_11_0x" localSheetId="93">'Div 5'!$N$65:$O$65</definedName>
    <definedName name="OSRRefE21_11_0x" localSheetId="62">'Div 6'!$N$94:$O$94</definedName>
    <definedName name="OSRRefE21_11_0x" localSheetId="2">Summary!$N$202:$O$202</definedName>
    <definedName name="OSRRefE21_11_1x" localSheetId="41">'201'!$N$60:$O$60</definedName>
    <definedName name="OSRRefE21_11_1x" localSheetId="43">'203'!$N$63:$O$63</definedName>
    <definedName name="OSRRefE21_11_1x" localSheetId="48">'300'!$N$168:$O$168</definedName>
    <definedName name="OSRRefE21_11_1x" localSheetId="49">'300 &amp; 317'!$N$192:$O$192</definedName>
    <definedName name="OSRRefE21_11_1x" localSheetId="53">'307'!$N$83:$O$83</definedName>
    <definedName name="OSRRefE21_11_1x" localSheetId="54">'308'!$N$105:$O$105</definedName>
    <definedName name="OSRRefE21_11_1x" localSheetId="55">'311'!$N$104:$O$104</definedName>
    <definedName name="OSRRefE21_11_1x" localSheetId="63">'317'!$N$95:$O$95</definedName>
    <definedName name="OSRRefE21_11_1x" localSheetId="69">'325'!$N$62:$O$62</definedName>
    <definedName name="OSRRefE21_11_1x" localSheetId="52">'330'!$N$87:$O$87</definedName>
    <definedName name="OSRRefE21_11_1x" localSheetId="74">'405'!$N$64:$O$64</definedName>
    <definedName name="OSRRefE21_11_1x" localSheetId="77">'412'!$N$65:$O$65</definedName>
    <definedName name="OSRRefE21_11_1x" localSheetId="80">'415'!$N$67:$O$67</definedName>
    <definedName name="OSRRefE21_11_1x" localSheetId="81">'418'!$N$65:$O$65</definedName>
    <definedName name="OSRRefE21_11_1x" localSheetId="89">'433'!$N$67:$O$67</definedName>
    <definedName name="OSRRefE21_11_1x" localSheetId="91">'444'!$N$67:$O$67</definedName>
    <definedName name="OSRRefE21_11_1x" localSheetId="47">'Div 3'!$N$172:$O$172</definedName>
    <definedName name="OSRRefE21_11_1x" localSheetId="62">'Div 6'!$N$95:$O$95</definedName>
    <definedName name="OSRRefE21_11_1x" localSheetId="2">Summary!$N$203:$O$203</definedName>
    <definedName name="OSRRefE21_11_2x" localSheetId="43">'203'!$N$64:$O$64</definedName>
    <definedName name="OSRRefE21_11_2x" localSheetId="54">'308'!$N$106:$O$106</definedName>
    <definedName name="OSRRefE21_11_2x" localSheetId="55">'311'!$N$105:$O$105</definedName>
    <definedName name="OSRRefE21_11_2x" localSheetId="63">'317'!$N$96:$O$96</definedName>
    <definedName name="OSRRefE21_11_2x" localSheetId="74">'405'!$N$65:$O$65</definedName>
    <definedName name="OSRRefE21_11_2x" localSheetId="77">'412'!$N$66:$O$66</definedName>
    <definedName name="OSRRefE21_11_2x" localSheetId="81">'418'!$N$66:$O$66</definedName>
    <definedName name="OSRRefE21_11_2x" localSheetId="62">'Div 6'!$N$96:$O$96</definedName>
    <definedName name="OSRRefE21_11_3x" localSheetId="63">'317'!$N$97:$O$97</definedName>
    <definedName name="OSRRefE21_11_3x" localSheetId="74">'405'!$N$66:$O$66</definedName>
    <definedName name="OSRRefE21_11_3x" localSheetId="77">'412'!$N$67:$O$67</definedName>
    <definedName name="OSRRefE21_11_3x" localSheetId="81">'418'!$N$67:$O$67</definedName>
    <definedName name="OSRRefE21_11_3x" localSheetId="62">'Div 6'!$N$97:$O$97</definedName>
    <definedName name="OSRRefE21_11_4x" localSheetId="81">'418'!$N$68:$O$68</definedName>
    <definedName name="OSRRefE21_11_5x" localSheetId="81">'418'!$N$69:$O$69</definedName>
    <definedName name="OSRRefE21_11x_0" localSheetId="41">'201'!$N$59:$N$60</definedName>
    <definedName name="OSRRefE21_11x_0" localSheetId="42">'202'!$N$62</definedName>
    <definedName name="OSRRefE21_11x_0" localSheetId="43">'203'!$N$62:$N$64</definedName>
    <definedName name="OSRRefE21_11x_0" localSheetId="48">'300'!$N$167:$N$168</definedName>
    <definedName name="OSRRefE21_11x_0" localSheetId="49">'300 &amp; 317'!$N$191:$N$192</definedName>
    <definedName name="OSRRefE21_11x_0" localSheetId="50">'301'!$N$62</definedName>
    <definedName name="OSRRefE21_11x_0" localSheetId="53">'307'!$N$82:$N$83</definedName>
    <definedName name="OSRRefE21_11x_0" localSheetId="54">'308'!$N$104:$N$106</definedName>
    <definedName name="OSRRefE21_11x_0" localSheetId="64">'310'!$N$69</definedName>
    <definedName name="OSRRefE21_11x_0" localSheetId="72">'310 &amp; 491'!$N$77</definedName>
    <definedName name="OSRRefE21_11x_0" localSheetId="55">'311'!$N$103:$N$105</definedName>
    <definedName name="OSRRefE21_11x_0" localSheetId="58">'315'!$N$122</definedName>
    <definedName name="OSRRefE21_11x_0" localSheetId="61">'316'!$N$77</definedName>
    <definedName name="OSRRefE21_11x_0" localSheetId="63">'317'!$N$94:$N$97</definedName>
    <definedName name="OSRRefE21_11x_0" localSheetId="67">'321'!$N$66</definedName>
    <definedName name="OSRRefE21_11x_0" localSheetId="69">'325'!$N$61:$N$62</definedName>
    <definedName name="OSRRefE21_11x_0" localSheetId="59">'326'!$N$86</definedName>
    <definedName name="OSRRefE21_11x_0" localSheetId="52">'330'!$N$86:$N$87</definedName>
    <definedName name="OSRRefE21_11x_0" localSheetId="57">'331'!$N$123</definedName>
    <definedName name="OSRRefE21_11x_0" localSheetId="60">'332'!$N$79</definedName>
    <definedName name="OSRRefE21_11x_0" localSheetId="74">'405'!$N$63:$N$66</definedName>
    <definedName name="OSRRefE21_11x_0" localSheetId="76">'411'!$N$65</definedName>
    <definedName name="OSRRefE21_11x_0" localSheetId="77">'412'!$N$64:$N$67</definedName>
    <definedName name="OSRRefE21_11x_0" localSheetId="79">'414'!$N$64</definedName>
    <definedName name="OSRRefE21_11x_0" localSheetId="80">'415'!$N$66:$N$67</definedName>
    <definedName name="OSRRefE21_11x_0" localSheetId="81">'418'!$N$64:$N$69</definedName>
    <definedName name="OSRRefE21_11x_0" localSheetId="89">'433'!$N$66:$N$67</definedName>
    <definedName name="OSRRefE21_11x_0" localSheetId="91">'444'!$N$66:$N$67</definedName>
    <definedName name="OSRRefE21_11x_0" localSheetId="92">'450'!$N$62</definedName>
    <definedName name="OSRRefE21_11x_0" localSheetId="73">'491'!$N$70</definedName>
    <definedName name="OSRRefE21_11x_0" localSheetId="87">'492'!$N$66</definedName>
    <definedName name="OSRRefE21_11x_0" localSheetId="94">'501'!$N$65</definedName>
    <definedName name="OSRRefE21_11x_0" localSheetId="39">'Div 2'!$N$61</definedName>
    <definedName name="OSRRefE21_11x_0" localSheetId="47">'Div 3'!$N$171:$N$172</definedName>
    <definedName name="OSRRefE21_11x_0" localSheetId="71">'Div 4'!$N$73</definedName>
    <definedName name="OSRRefE21_11x_0" localSheetId="93">'Div 5'!$N$65</definedName>
    <definedName name="OSRRefE21_11x_0" localSheetId="62">'Div 6'!$N$94:$N$97</definedName>
    <definedName name="OSRRefE21_11x_0" localSheetId="2">Summary!$N$202:$N$203</definedName>
    <definedName name="OSRRefE21_11x_1" localSheetId="41">'201'!$O$59:$O$60</definedName>
    <definedName name="OSRRefE21_11x_1" localSheetId="42">'202'!$O$62</definedName>
    <definedName name="OSRRefE21_11x_1" localSheetId="43">'203'!$O$62:$O$64</definedName>
    <definedName name="OSRRefE21_11x_1" localSheetId="48">'300'!$O$167:$O$168</definedName>
    <definedName name="OSRRefE21_11x_1" localSheetId="49">'300 &amp; 317'!$O$191:$O$192</definedName>
    <definedName name="OSRRefE21_11x_1" localSheetId="50">'301'!$O$62</definedName>
    <definedName name="OSRRefE21_11x_1" localSheetId="53">'307'!$O$82:$O$83</definedName>
    <definedName name="OSRRefE21_11x_1" localSheetId="54">'308'!$O$104:$O$106</definedName>
    <definedName name="OSRRefE21_11x_1" localSheetId="64">'310'!$O$69</definedName>
    <definedName name="OSRRefE21_11x_1" localSheetId="72">'310 &amp; 491'!$O$77</definedName>
    <definedName name="OSRRefE21_11x_1" localSheetId="55">'311'!$O$103:$O$105</definedName>
    <definedName name="OSRRefE21_11x_1" localSheetId="58">'315'!$O$122</definedName>
    <definedName name="OSRRefE21_11x_1" localSheetId="61">'316'!$O$77</definedName>
    <definedName name="OSRRefE21_11x_1" localSheetId="63">'317'!$O$94:$O$97</definedName>
    <definedName name="OSRRefE21_11x_1" localSheetId="67">'321'!$O$66</definedName>
    <definedName name="OSRRefE21_11x_1" localSheetId="69">'325'!$O$61:$O$62</definedName>
    <definedName name="OSRRefE21_11x_1" localSheetId="59">'326'!$O$86</definedName>
    <definedName name="OSRRefE21_11x_1" localSheetId="52">'330'!$O$86:$O$87</definedName>
    <definedName name="OSRRefE21_11x_1" localSheetId="57">'331'!$O$123</definedName>
    <definedName name="OSRRefE21_11x_1" localSheetId="60">'332'!$O$79</definedName>
    <definedName name="OSRRefE21_11x_1" localSheetId="74">'405'!$O$63:$O$66</definedName>
    <definedName name="OSRRefE21_11x_1" localSheetId="76">'411'!$O$65</definedName>
    <definedName name="OSRRefE21_11x_1" localSheetId="77">'412'!$O$64:$O$67</definedName>
    <definedName name="OSRRefE21_11x_1" localSheetId="79">'414'!$O$64</definedName>
    <definedName name="OSRRefE21_11x_1" localSheetId="80">'415'!$O$66:$O$67</definedName>
    <definedName name="OSRRefE21_11x_1" localSheetId="81">'418'!$O$64:$O$69</definedName>
    <definedName name="OSRRefE21_11x_1" localSheetId="89">'433'!$O$66:$O$67</definedName>
    <definedName name="OSRRefE21_11x_1" localSheetId="91">'444'!$O$66:$O$67</definedName>
    <definedName name="OSRRefE21_11x_1" localSheetId="92">'450'!$O$62</definedName>
    <definedName name="OSRRefE21_11x_1" localSheetId="73">'491'!$O$70</definedName>
    <definedName name="OSRRefE21_11x_1" localSheetId="87">'492'!$O$66</definedName>
    <definedName name="OSRRefE21_11x_1" localSheetId="94">'501'!$O$65</definedName>
    <definedName name="OSRRefE21_11x_1" localSheetId="39">'Div 2'!$O$61</definedName>
    <definedName name="OSRRefE21_11x_1" localSheetId="47">'Div 3'!$O$171:$O$172</definedName>
    <definedName name="OSRRefE21_11x_1" localSheetId="71">'Div 4'!$O$73</definedName>
    <definedName name="OSRRefE21_11x_1" localSheetId="93">'Div 5'!$O$65</definedName>
    <definedName name="OSRRefE21_11x_1" localSheetId="62">'Div 6'!$O$94:$O$97</definedName>
    <definedName name="OSRRefE21_11x_1" localSheetId="2">Summary!$O$202:$O$203</definedName>
    <definedName name="OSRRefE21_12_0x" localSheetId="41">'201'!$N$62:$O$62</definedName>
    <definedName name="OSRRefE21_12_0x" localSheetId="42">'202'!$N$64:$O$64</definedName>
    <definedName name="OSRRefE21_12_0x" localSheetId="43">'203'!$N$66:$O$66</definedName>
    <definedName name="OSRRefE21_12_0x" localSheetId="48">'300'!$N$170:$O$170</definedName>
    <definedName name="OSRRefE21_12_0x" localSheetId="49">'300 &amp; 317'!$N$194:$O$194</definedName>
    <definedName name="OSRRefE21_12_0x" localSheetId="50">'301'!$N$64:$O$64</definedName>
    <definedName name="OSRRefE21_12_0x" localSheetId="53">'307'!$N$85:$O$85</definedName>
    <definedName name="OSRRefE21_12_0x" localSheetId="54">'308'!$N$108:$O$108</definedName>
    <definedName name="OSRRefE21_12_0x" localSheetId="64">'310'!$N$71:$O$71</definedName>
    <definedName name="OSRRefE21_12_0x" localSheetId="72">'310 &amp; 491'!$N$79:$O$79</definedName>
    <definedName name="OSRRefE21_12_0x" localSheetId="55">'311'!$N$107:$O$107</definedName>
    <definedName name="OSRRefE21_12_0x" localSheetId="58">'315'!$N$124:$O$124</definedName>
    <definedName name="OSRRefE21_12_0x" localSheetId="63">'317'!$N$99:$O$99</definedName>
    <definedName name="OSRRefE21_12_0x" localSheetId="69">'325'!$N$64:$O$64</definedName>
    <definedName name="OSRRefE21_12_0x" localSheetId="59">'326'!$N$88:$O$88</definedName>
    <definedName name="OSRRefE21_12_0x" localSheetId="52">'330'!$N$89:$O$89</definedName>
    <definedName name="OSRRefE21_12_0x" localSheetId="57">'331'!$N$125:$O$125</definedName>
    <definedName name="OSRRefE21_12_0x" localSheetId="74">'405'!$N$68:$O$68</definedName>
    <definedName name="OSRRefE21_12_0x" localSheetId="76">'411'!$N$67:$O$67</definedName>
    <definedName name="OSRRefE21_12_0x" localSheetId="77">'412'!$N$69:$O$69</definedName>
    <definedName name="OSRRefE21_12_0x" localSheetId="79">'414'!$N$66:$O$66</definedName>
    <definedName name="OSRRefE21_12_0x" localSheetId="80">'415'!$N$69:$O$69</definedName>
    <definedName name="OSRRefE21_12_0x" localSheetId="81">'418'!$N$71:$O$71</definedName>
    <definedName name="OSRRefE21_12_0x" localSheetId="89">'433'!$N$69:$O$69</definedName>
    <definedName name="OSRRefE21_12_0x" localSheetId="91">'444'!$N$69:$O$69</definedName>
    <definedName name="OSRRefE21_12_0x" localSheetId="92">'450'!$N$64:$O$64</definedName>
    <definedName name="OSRRefE21_12_0x" localSheetId="73">'491'!$N$72:$O$72</definedName>
    <definedName name="OSRRefE21_12_0x" localSheetId="87">'492'!$N$68:$O$68</definedName>
    <definedName name="OSRRefE21_12_0x" localSheetId="39">'Div 2'!$N$63:$O$63</definedName>
    <definedName name="OSRRefE21_12_0x" localSheetId="47">'Div 3'!$N$174:$O$174</definedName>
    <definedName name="OSRRefE21_12_0x" localSheetId="71">'Div 4'!$N$75:$O$75</definedName>
    <definedName name="OSRRefE21_12_0x" localSheetId="62">'Div 6'!$N$99:$O$99</definedName>
    <definedName name="OSRRefE21_12_0x" localSheetId="2">Summary!$N$205:$O$205</definedName>
    <definedName name="OSRRefE21_12_1x" localSheetId="54">'308'!$N$109:$O$109</definedName>
    <definedName name="OSRRefE21_12_1x" localSheetId="64">'310'!$N$72:$O$72</definedName>
    <definedName name="OSRRefE21_12_1x" localSheetId="55">'311'!$N$108:$O$108</definedName>
    <definedName name="OSRRefE21_12_1x" localSheetId="58">'315'!$N$125:$O$125</definedName>
    <definedName name="OSRRefE21_12_1x" localSheetId="69">'325'!$N$65:$O$65</definedName>
    <definedName name="OSRRefE21_12_1x" localSheetId="59">'326'!$N$89:$O$89</definedName>
    <definedName name="OSRRefE21_12_1x" localSheetId="76">'411'!$N$68:$O$68</definedName>
    <definedName name="OSRRefE21_12_1x" localSheetId="77">'412'!$N$70:$O$70</definedName>
    <definedName name="OSRRefE21_12_1x" localSheetId="79">'414'!$N$67:$O$67</definedName>
    <definedName name="OSRRefE21_12_1x" localSheetId="80">'415'!$N$70:$O$70</definedName>
    <definedName name="OSRRefE21_12_1x" localSheetId="81">'418'!$N$72:$O$72</definedName>
    <definedName name="OSRRefE21_12_1x" localSheetId="89">'433'!$N$70:$O$70</definedName>
    <definedName name="OSRRefE21_12_1x" localSheetId="91">'444'!$N$70:$O$70</definedName>
    <definedName name="OSRRefE21_12_1x" localSheetId="87">'492'!$N$69:$O$69</definedName>
    <definedName name="OSRRefE21_12_1x" localSheetId="39">'Div 2'!$N$64:$O$64</definedName>
    <definedName name="OSRRefE21_12_2x" localSheetId="58">'315'!$N$126:$O$126</definedName>
    <definedName name="OSRRefE21_12_2x" localSheetId="69">'325'!$N$66:$O$66</definedName>
    <definedName name="OSRRefE21_12_2x" localSheetId="59">'326'!$N$90:$O$90</definedName>
    <definedName name="OSRRefE21_12_2x" localSheetId="76">'411'!$N$69:$O$69</definedName>
    <definedName name="OSRRefE21_12_2x" localSheetId="79">'414'!$N$68:$O$68</definedName>
    <definedName name="OSRRefE21_12_2x" localSheetId="80">'415'!$N$71:$O$71</definedName>
    <definedName name="OSRRefE21_12_2x" localSheetId="89">'433'!$N$71:$O$71</definedName>
    <definedName name="OSRRefE21_12_2x" localSheetId="91">'444'!$N$71:$O$71</definedName>
    <definedName name="OSRRefE21_12_2x" localSheetId="87">'492'!$N$70:$O$70</definedName>
    <definedName name="OSRRefE21_12_2x" localSheetId="39">'Div 2'!$N$65:$O$65</definedName>
    <definedName name="OSRRefE21_12_3x" localSheetId="69">'325'!$N$67:$O$67</definedName>
    <definedName name="OSRRefE21_12_3x" localSheetId="76">'411'!$N$70:$O$70</definedName>
    <definedName name="OSRRefE21_12_3x" localSheetId="80">'415'!$N$72:$O$72</definedName>
    <definedName name="OSRRefE21_12_3x" localSheetId="89">'433'!$N$72:$O$72</definedName>
    <definedName name="OSRRefE21_12_3x" localSheetId="91">'444'!$N$72:$O$72</definedName>
    <definedName name="OSRRefE21_12_3x" localSheetId="39">'Div 2'!$N$66:$O$66</definedName>
    <definedName name="OSRRefE21_12_4x" localSheetId="69">'325'!$N$68:$O$68</definedName>
    <definedName name="OSRRefE21_12_4x" localSheetId="76">'411'!$N$71:$O$71</definedName>
    <definedName name="OSRRefE21_12_5x" localSheetId="76">'411'!$N$72:$O$72</definedName>
    <definedName name="OSRRefE21_12x_0" localSheetId="41">'201'!$N$62</definedName>
    <definedName name="OSRRefE21_12x_0" localSheetId="42">'202'!$N$64</definedName>
    <definedName name="OSRRefE21_12x_0" localSheetId="43">'203'!$N$66</definedName>
    <definedName name="OSRRefE21_12x_0" localSheetId="48">'300'!$N$170</definedName>
    <definedName name="OSRRefE21_12x_0" localSheetId="49">'300 &amp; 317'!$N$194</definedName>
    <definedName name="OSRRefE21_12x_0" localSheetId="50">'301'!$N$64</definedName>
    <definedName name="OSRRefE21_12x_0" localSheetId="53">'307'!$N$85</definedName>
    <definedName name="OSRRefE21_12x_0" localSheetId="54">'308'!$N$108:$N$109</definedName>
    <definedName name="OSRRefE21_12x_0" localSheetId="64">'310'!$N$71:$N$72</definedName>
    <definedName name="OSRRefE21_12x_0" localSheetId="72">'310 &amp; 491'!$N$79</definedName>
    <definedName name="OSRRefE21_12x_0" localSheetId="55">'311'!$N$107:$N$108</definedName>
    <definedName name="OSRRefE21_12x_0" localSheetId="58">'315'!$N$124:$N$126</definedName>
    <definedName name="OSRRefE21_12x_0" localSheetId="63">'317'!$N$99</definedName>
    <definedName name="OSRRefE21_12x_0" localSheetId="69">'325'!$N$64:$N$68</definedName>
    <definedName name="OSRRefE21_12x_0" localSheetId="59">'326'!$N$88:$N$90</definedName>
    <definedName name="OSRRefE21_12x_0" localSheetId="52">'330'!$N$89</definedName>
    <definedName name="OSRRefE21_12x_0" localSheetId="57">'331'!$N$125</definedName>
    <definedName name="OSRRefE21_12x_0" localSheetId="74">'405'!$N$68</definedName>
    <definedName name="OSRRefE21_12x_0" localSheetId="76">'411'!$N$67:$N$72</definedName>
    <definedName name="OSRRefE21_12x_0" localSheetId="77">'412'!$N$69:$N$70</definedName>
    <definedName name="OSRRefE21_12x_0" localSheetId="79">'414'!$N$66:$N$68</definedName>
    <definedName name="OSRRefE21_12x_0" localSheetId="80">'415'!$N$69:$N$72</definedName>
    <definedName name="OSRRefE21_12x_0" localSheetId="81">'418'!$N$71:$N$72</definedName>
    <definedName name="OSRRefE21_12x_0" localSheetId="89">'433'!$N$69:$N$72</definedName>
    <definedName name="OSRRefE21_12x_0" localSheetId="91">'444'!$N$69:$N$72</definedName>
    <definedName name="OSRRefE21_12x_0" localSheetId="92">'450'!$N$64</definedName>
    <definedName name="OSRRefE21_12x_0" localSheetId="73">'491'!$N$72</definedName>
    <definedName name="OSRRefE21_12x_0" localSheetId="87">'492'!$N$68:$N$70</definedName>
    <definedName name="OSRRefE21_12x_0" localSheetId="39">'Div 2'!$N$63:$N$66</definedName>
    <definedName name="OSRRefE21_12x_0" localSheetId="47">'Div 3'!$N$174</definedName>
    <definedName name="OSRRefE21_12x_0" localSheetId="71">'Div 4'!$N$75</definedName>
    <definedName name="OSRRefE21_12x_0" localSheetId="62">'Div 6'!$N$99</definedName>
    <definedName name="OSRRefE21_12x_0" localSheetId="2">Summary!$N$205</definedName>
    <definedName name="OSRRefE21_12x_1" localSheetId="41">'201'!$O$62</definedName>
    <definedName name="OSRRefE21_12x_1" localSheetId="42">'202'!$O$64</definedName>
    <definedName name="OSRRefE21_12x_1" localSheetId="43">'203'!$O$66</definedName>
    <definedName name="OSRRefE21_12x_1" localSheetId="48">'300'!$O$170</definedName>
    <definedName name="OSRRefE21_12x_1" localSheetId="49">'300 &amp; 317'!$O$194</definedName>
    <definedName name="OSRRefE21_12x_1" localSheetId="50">'301'!$O$64</definedName>
    <definedName name="OSRRefE21_12x_1" localSheetId="53">'307'!$O$85</definedName>
    <definedName name="OSRRefE21_12x_1" localSheetId="54">'308'!$O$108:$O$109</definedName>
    <definedName name="OSRRefE21_12x_1" localSheetId="64">'310'!$O$71:$O$72</definedName>
    <definedName name="OSRRefE21_12x_1" localSheetId="72">'310 &amp; 491'!$O$79</definedName>
    <definedName name="OSRRefE21_12x_1" localSheetId="55">'311'!$O$107:$O$108</definedName>
    <definedName name="OSRRefE21_12x_1" localSheetId="58">'315'!$O$124:$O$126</definedName>
    <definedName name="OSRRefE21_12x_1" localSheetId="63">'317'!$O$99</definedName>
    <definedName name="OSRRefE21_12x_1" localSheetId="69">'325'!$O$64:$O$68</definedName>
    <definedName name="OSRRefE21_12x_1" localSheetId="59">'326'!$O$88:$O$90</definedName>
    <definedName name="OSRRefE21_12x_1" localSheetId="52">'330'!$O$89</definedName>
    <definedName name="OSRRefE21_12x_1" localSheetId="57">'331'!$O$125</definedName>
    <definedName name="OSRRefE21_12x_1" localSheetId="74">'405'!$O$68</definedName>
    <definedName name="OSRRefE21_12x_1" localSheetId="76">'411'!$O$67:$O$72</definedName>
    <definedName name="OSRRefE21_12x_1" localSheetId="77">'412'!$O$69:$O$70</definedName>
    <definedName name="OSRRefE21_12x_1" localSheetId="79">'414'!$O$66:$O$68</definedName>
    <definedName name="OSRRefE21_12x_1" localSheetId="80">'415'!$O$69:$O$72</definedName>
    <definedName name="OSRRefE21_12x_1" localSheetId="81">'418'!$O$71:$O$72</definedName>
    <definedName name="OSRRefE21_12x_1" localSheetId="89">'433'!$O$69:$O$72</definedName>
    <definedName name="OSRRefE21_12x_1" localSheetId="91">'444'!$O$69:$O$72</definedName>
    <definedName name="OSRRefE21_12x_1" localSheetId="92">'450'!$O$64</definedName>
    <definedName name="OSRRefE21_12x_1" localSheetId="73">'491'!$O$72</definedName>
    <definedName name="OSRRefE21_12x_1" localSheetId="87">'492'!$O$68:$O$70</definedName>
    <definedName name="OSRRefE21_12x_1" localSheetId="39">'Div 2'!$O$63:$O$66</definedName>
    <definedName name="OSRRefE21_12x_1" localSheetId="47">'Div 3'!$O$174</definedName>
    <definedName name="OSRRefE21_12x_1" localSheetId="71">'Div 4'!$O$75</definedName>
    <definedName name="OSRRefE21_12x_1" localSheetId="62">'Div 6'!$O$99</definedName>
    <definedName name="OSRRefE21_12x_1" localSheetId="2">Summary!$O$205</definedName>
    <definedName name="OSRRefE21_13_0x" localSheetId="41">'201'!$N$64:$O$64</definedName>
    <definedName name="OSRRefE21_13_0x" localSheetId="43">'203'!$N$68:$O$68</definedName>
    <definedName name="OSRRefE21_13_0x" localSheetId="48">'300'!$N$172:$O$172</definedName>
    <definedName name="OSRRefE21_13_0x" localSheetId="49">'300 &amp; 317'!$N$196:$O$196</definedName>
    <definedName name="OSRRefE21_13_0x" localSheetId="50">'301'!$N$66:$O$66</definedName>
    <definedName name="OSRRefE21_13_0x" localSheetId="54">'308'!$N$111:$O$111</definedName>
    <definedName name="OSRRefE21_13_0x" localSheetId="64">'310'!$N$74:$O$74</definedName>
    <definedName name="OSRRefE21_13_0x" localSheetId="72">'310 &amp; 491'!$N$81:$O$81</definedName>
    <definedName name="OSRRefE21_13_0x" localSheetId="55">'311'!$N$110:$O$110</definedName>
    <definedName name="OSRRefE21_13_0x" localSheetId="58">'315'!$N$128:$O$128</definedName>
    <definedName name="OSRRefE21_13_0x" localSheetId="63">'317'!$N$101:$O$101</definedName>
    <definedName name="OSRRefE21_13_0x" localSheetId="69">'325'!$N$70:$O$70</definedName>
    <definedName name="OSRRefE21_13_0x" localSheetId="59">'326'!$N$92:$O$92</definedName>
    <definedName name="OSRRefE21_13_0x" localSheetId="57">'331'!$N$127:$O$127</definedName>
    <definedName name="OSRRefE21_13_0x" localSheetId="74">'405'!$N$70:$O$70</definedName>
    <definedName name="OSRRefE21_13_0x" localSheetId="76">'411'!$N$74:$O$74</definedName>
    <definedName name="OSRRefE21_13_0x" localSheetId="77">'412'!$N$72:$O$72</definedName>
    <definedName name="OSRRefE21_13_0x" localSheetId="79">'414'!$N$70:$O$70</definedName>
    <definedName name="OSRRefE21_13_0x" localSheetId="80">'415'!$N$74:$O$74</definedName>
    <definedName name="OSRRefE21_13_0x" localSheetId="81">'418'!$N$74:$O$74</definedName>
    <definedName name="OSRRefE21_13_0x" localSheetId="89">'433'!$N$74:$O$74</definedName>
    <definedName name="OSRRefE21_13_0x" localSheetId="91">'444'!$N$74:$O$74</definedName>
    <definedName name="OSRRefE21_13_0x" localSheetId="92">'450'!$N$66:$O$66</definedName>
    <definedName name="OSRRefE21_13_0x" localSheetId="73">'491'!$N$74:$O$74</definedName>
    <definedName name="OSRRefE21_13_0x" localSheetId="87">'492'!$N$72:$O$72</definedName>
    <definedName name="OSRRefE21_13_0x" localSheetId="39">'Div 2'!$N$68:$O$68</definedName>
    <definedName name="OSRRefE21_13_0x" localSheetId="47">'Div 3'!$N$176:$O$176</definedName>
    <definedName name="OSRRefE21_13_0x" localSheetId="71">'Div 4'!$N$77:$O$77</definedName>
    <definedName name="OSRRefE21_13_0x" localSheetId="62">'Div 6'!$N$101:$O$101</definedName>
    <definedName name="OSRRefE21_13_0x" localSheetId="2">Summary!$N$207:$O$207</definedName>
    <definedName name="OSRRefE21_13_1x" localSheetId="41">'201'!$N$65:$O$65</definedName>
    <definedName name="OSRRefE21_13_1x" localSheetId="48">'300'!$N$173:$O$173</definedName>
    <definedName name="OSRRefE21_13_1x" localSheetId="49">'300 &amp; 317'!$N$197:$O$197</definedName>
    <definedName name="OSRRefE21_13_1x" localSheetId="58">'315'!$N$129:$O$129</definedName>
    <definedName name="OSRRefE21_13_1x" localSheetId="69">'325'!$N$71:$O$71</definedName>
    <definedName name="OSRRefE21_13_1x" localSheetId="59">'326'!$N$93:$O$93</definedName>
    <definedName name="OSRRefE21_13_1x" localSheetId="57">'331'!$N$128:$O$128</definedName>
    <definedName name="OSRRefE21_13_1x" localSheetId="74">'405'!$N$71:$O$71</definedName>
    <definedName name="OSRRefE21_13_1x" localSheetId="89">'433'!$N$75:$O$75</definedName>
    <definedName name="OSRRefE21_13_1x" localSheetId="92">'450'!$N$67:$O$67</definedName>
    <definedName name="OSRRefE21_13_1x" localSheetId="87">'492'!$N$73:$O$73</definedName>
    <definedName name="OSRRefE21_13_1x" localSheetId="39">'Div 2'!$N$69:$O$69</definedName>
    <definedName name="OSRRefE21_13_2x" localSheetId="41">'201'!$N$66:$O$66</definedName>
    <definedName name="OSRRefE21_13_2x" localSheetId="59">'326'!$N$94:$O$94</definedName>
    <definedName name="OSRRefE21_13_2x" localSheetId="57">'331'!$N$129:$O$129</definedName>
    <definedName name="OSRRefE21_13_2x" localSheetId="74">'405'!$N$72:$O$72</definedName>
    <definedName name="OSRRefE21_13_2x" localSheetId="89">'433'!$N$76:$O$76</definedName>
    <definedName name="OSRRefE21_13_2x" localSheetId="92">'450'!$N$68:$O$68</definedName>
    <definedName name="OSRRefE21_13_2x" localSheetId="87">'492'!$N$74:$O$74</definedName>
    <definedName name="OSRRefE21_13_2x" localSheetId="39">'Div 2'!$N$70:$O$70</definedName>
    <definedName name="OSRRefE21_13_3x" localSheetId="74">'405'!$N$73:$O$73</definedName>
    <definedName name="OSRRefE21_13_3x" localSheetId="89">'433'!$N$77:$O$77</definedName>
    <definedName name="OSRRefE21_13_3x" localSheetId="87">'492'!$N$75:$O$75</definedName>
    <definedName name="OSRRefE21_13_3x" localSheetId="39">'Div 2'!$N$71:$O$71</definedName>
    <definedName name="OSRRefE21_13_4x" localSheetId="74">'405'!$N$74:$O$74</definedName>
    <definedName name="OSRRefE21_13_4x" localSheetId="89">'433'!$N$78:$O$78</definedName>
    <definedName name="OSRRefE21_13_5x" localSheetId="74">'405'!$N$75:$O$75</definedName>
    <definedName name="OSRRefE21_13_5x" localSheetId="89">'433'!$N$79:$O$79</definedName>
    <definedName name="OSRRefE21_13_6x" localSheetId="74">'405'!$N$76:$O$76</definedName>
    <definedName name="OSRRefE21_13_6x" localSheetId="89">'433'!$N$80:$O$80</definedName>
    <definedName name="OSRRefE21_13_7x" localSheetId="74">'405'!$N$77:$O$77</definedName>
    <definedName name="OSRRefE21_13x_0" localSheetId="41">'201'!$N$64:$N$66</definedName>
    <definedName name="OSRRefE21_13x_0" localSheetId="43">'203'!$N$68</definedName>
    <definedName name="OSRRefE21_13x_0" localSheetId="48">'300'!$N$172:$N$173</definedName>
    <definedName name="OSRRefE21_13x_0" localSheetId="49">'300 &amp; 317'!$N$196:$N$197</definedName>
    <definedName name="OSRRefE21_13x_0" localSheetId="50">'301'!$N$66</definedName>
    <definedName name="OSRRefE21_13x_0" localSheetId="54">'308'!$N$111</definedName>
    <definedName name="OSRRefE21_13x_0" localSheetId="64">'310'!$N$74</definedName>
    <definedName name="OSRRefE21_13x_0" localSheetId="72">'310 &amp; 491'!$N$81</definedName>
    <definedName name="OSRRefE21_13x_0" localSheetId="55">'311'!$N$110</definedName>
    <definedName name="OSRRefE21_13x_0" localSheetId="58">'315'!$N$128:$N$129</definedName>
    <definedName name="OSRRefE21_13x_0" localSheetId="63">'317'!$N$101</definedName>
    <definedName name="OSRRefE21_13x_0" localSheetId="69">'325'!$N$70:$N$71</definedName>
    <definedName name="OSRRefE21_13x_0" localSheetId="59">'326'!$N$92:$N$94</definedName>
    <definedName name="OSRRefE21_13x_0" localSheetId="57">'331'!$N$127:$N$129</definedName>
    <definedName name="OSRRefE21_13x_0" localSheetId="74">'405'!$N$70:$N$77</definedName>
    <definedName name="OSRRefE21_13x_0" localSheetId="76">'411'!$N$74</definedName>
    <definedName name="OSRRefE21_13x_0" localSheetId="77">'412'!$N$72</definedName>
    <definedName name="OSRRefE21_13x_0" localSheetId="79">'414'!$N$70</definedName>
    <definedName name="OSRRefE21_13x_0" localSheetId="80">'415'!$N$74</definedName>
    <definedName name="OSRRefE21_13x_0" localSheetId="81">'418'!$N$74</definedName>
    <definedName name="OSRRefE21_13x_0" localSheetId="89">'433'!$N$74:$N$80</definedName>
    <definedName name="OSRRefE21_13x_0" localSheetId="91">'444'!$N$74</definedName>
    <definedName name="OSRRefE21_13x_0" localSheetId="92">'450'!$N$66:$N$68</definedName>
    <definedName name="OSRRefE21_13x_0" localSheetId="73">'491'!$N$74</definedName>
    <definedName name="OSRRefE21_13x_0" localSheetId="87">'492'!$N$72:$N$75</definedName>
    <definedName name="OSRRefE21_13x_0" localSheetId="39">'Div 2'!$N$68:$N$71</definedName>
    <definedName name="OSRRefE21_13x_0" localSheetId="47">'Div 3'!$N$176</definedName>
    <definedName name="OSRRefE21_13x_0" localSheetId="71">'Div 4'!$N$77</definedName>
    <definedName name="OSRRefE21_13x_0" localSheetId="62">'Div 6'!$N$101</definedName>
    <definedName name="OSRRefE21_13x_0" localSheetId="2">Summary!$N$207</definedName>
    <definedName name="OSRRefE21_13x_1" localSheetId="41">'201'!$O$64:$O$66</definedName>
    <definedName name="OSRRefE21_13x_1" localSheetId="43">'203'!$O$68</definedName>
    <definedName name="OSRRefE21_13x_1" localSheetId="48">'300'!$O$172:$O$173</definedName>
    <definedName name="OSRRefE21_13x_1" localSheetId="49">'300 &amp; 317'!$O$196:$O$197</definedName>
    <definedName name="OSRRefE21_13x_1" localSheetId="50">'301'!$O$66</definedName>
    <definedName name="OSRRefE21_13x_1" localSheetId="54">'308'!$O$111</definedName>
    <definedName name="OSRRefE21_13x_1" localSheetId="64">'310'!$O$74</definedName>
    <definedName name="OSRRefE21_13x_1" localSheetId="72">'310 &amp; 491'!$O$81</definedName>
    <definedName name="OSRRefE21_13x_1" localSheetId="55">'311'!$O$110</definedName>
    <definedName name="OSRRefE21_13x_1" localSheetId="58">'315'!$O$128:$O$129</definedName>
    <definedName name="OSRRefE21_13x_1" localSheetId="63">'317'!$O$101</definedName>
    <definedName name="OSRRefE21_13x_1" localSheetId="69">'325'!$O$70:$O$71</definedName>
    <definedName name="OSRRefE21_13x_1" localSheetId="59">'326'!$O$92:$O$94</definedName>
    <definedName name="OSRRefE21_13x_1" localSheetId="57">'331'!$O$127:$O$129</definedName>
    <definedName name="OSRRefE21_13x_1" localSheetId="74">'405'!$O$70:$O$77</definedName>
    <definedName name="OSRRefE21_13x_1" localSheetId="76">'411'!$O$74</definedName>
    <definedName name="OSRRefE21_13x_1" localSheetId="77">'412'!$O$72</definedName>
    <definedName name="OSRRefE21_13x_1" localSheetId="79">'414'!$O$70</definedName>
    <definedName name="OSRRefE21_13x_1" localSheetId="80">'415'!$O$74</definedName>
    <definedName name="OSRRefE21_13x_1" localSheetId="81">'418'!$O$74</definedName>
    <definedName name="OSRRefE21_13x_1" localSheetId="89">'433'!$O$74:$O$80</definedName>
    <definedName name="OSRRefE21_13x_1" localSheetId="91">'444'!$O$74</definedName>
    <definedName name="OSRRefE21_13x_1" localSheetId="92">'450'!$O$66:$O$68</definedName>
    <definedName name="OSRRefE21_13x_1" localSheetId="73">'491'!$O$74</definedName>
    <definedName name="OSRRefE21_13x_1" localSheetId="87">'492'!$O$72:$O$75</definedName>
    <definedName name="OSRRefE21_13x_1" localSheetId="39">'Div 2'!$O$68:$O$71</definedName>
    <definedName name="OSRRefE21_13x_1" localSheetId="47">'Div 3'!$O$176</definedName>
    <definedName name="OSRRefE21_13x_1" localSheetId="71">'Div 4'!$O$77</definedName>
    <definedName name="OSRRefE21_13x_1" localSheetId="62">'Div 6'!$O$101</definedName>
    <definedName name="OSRRefE21_13x_1" localSheetId="2">Summary!$O$207</definedName>
    <definedName name="OSRRefE21_14_0x" localSheetId="41">'201'!$N$68:$O$68</definedName>
    <definedName name="OSRRefE21_14_0x" localSheetId="43">'203'!$N$70:$O$70</definedName>
    <definedName name="OSRRefE21_14_0x" localSheetId="48">'300'!$N$175:$O$175</definedName>
    <definedName name="OSRRefE21_14_0x" localSheetId="49">'300 &amp; 317'!$N$199:$O$199</definedName>
    <definedName name="OSRRefE21_14_0x" localSheetId="50">'301'!$N$68:$O$68</definedName>
    <definedName name="OSRRefE21_14_0x" localSheetId="64">'310'!$N$76:$O$76</definedName>
    <definedName name="OSRRefE21_14_0x" localSheetId="72">'310 &amp; 491'!$N$83:$O$83</definedName>
    <definedName name="OSRRefE21_14_0x" localSheetId="58">'315'!$N$131:$O$131</definedName>
    <definedName name="OSRRefE21_14_0x" localSheetId="69">'325'!$N$73:$O$73</definedName>
    <definedName name="OSRRefE21_14_0x" localSheetId="59">'326'!$N$96:$O$96</definedName>
    <definedName name="OSRRefE21_14_0x" localSheetId="57">'331'!$N$131:$O$131</definedName>
    <definedName name="OSRRefE21_14_0x" localSheetId="74">'405'!$N$79:$O$79</definedName>
    <definedName name="OSRRefE21_14_0x" localSheetId="76">'411'!$N$76:$O$76</definedName>
    <definedName name="OSRRefE21_14_0x" localSheetId="80">'415'!$N$76:$O$76</definedName>
    <definedName name="OSRRefE21_14_0x" localSheetId="89">'433'!$N$82:$O$82</definedName>
    <definedName name="OSRRefE21_14_0x" localSheetId="91">'444'!$N$76:$O$76</definedName>
    <definedName name="OSRRefE21_14_0x" localSheetId="92">'450'!$N$70:$O$70</definedName>
    <definedName name="OSRRefE21_14_0x" localSheetId="73">'491'!$N$76:$O$76</definedName>
    <definedName name="OSRRefE21_14_0x" localSheetId="87">'492'!$N$77:$O$77</definedName>
    <definedName name="OSRRefE21_14_0x" localSheetId="39">'Div 2'!$N$73:$O$73</definedName>
    <definedName name="OSRRefE21_14_0x" localSheetId="47">'Div 3'!$N$178:$O$178</definedName>
    <definedName name="OSRRefE21_14_0x" localSheetId="71">'Div 4'!$N$79:$O$79</definedName>
    <definedName name="OSRRefE21_14_0x" localSheetId="2">Summary!$N$209:$O$209</definedName>
    <definedName name="OSRRefE21_14_1x" localSheetId="64">'310'!$N$77:$O$77</definedName>
    <definedName name="OSRRefE21_14_1x" localSheetId="72">'310 &amp; 491'!$N$84:$O$84</definedName>
    <definedName name="OSRRefE21_14_1x" localSheetId="58">'315'!$N$132:$O$132</definedName>
    <definedName name="OSRRefE21_14_1x" localSheetId="59">'326'!$N$97:$O$97</definedName>
    <definedName name="OSRRefE21_14_1x" localSheetId="57">'331'!$N$132:$O$132</definedName>
    <definedName name="OSRRefE21_14_1x" localSheetId="80">'415'!$N$77:$O$77</definedName>
    <definedName name="OSRRefE21_14_1x" localSheetId="91">'444'!$N$77:$O$77</definedName>
    <definedName name="OSRRefE21_14_1x" localSheetId="92">'450'!$N$71:$O$71</definedName>
    <definedName name="OSRRefE21_14_1x" localSheetId="73">'491'!$N$77:$O$77</definedName>
    <definedName name="OSRRefE21_14_1x" localSheetId="39">'Div 2'!$N$74:$O$74</definedName>
    <definedName name="OSRRefE21_14_1x" localSheetId="47">'Div 3'!$N$179:$O$179</definedName>
    <definedName name="OSRRefE21_14_1x" localSheetId="2">Summary!$N$210:$O$210</definedName>
    <definedName name="OSRRefE21_14_2x" localSheetId="64">'310'!$N$78:$O$78</definedName>
    <definedName name="OSRRefE21_14_2x" localSheetId="72">'310 &amp; 491'!$N$85:$O$85</definedName>
    <definedName name="OSRRefE21_14_2x" localSheetId="58">'315'!$N$133:$O$133</definedName>
    <definedName name="OSRRefE21_14_2x" localSheetId="57">'331'!$N$133:$O$133</definedName>
    <definedName name="OSRRefE21_14_2x" localSheetId="80">'415'!$N$78:$O$78</definedName>
    <definedName name="OSRRefE21_14_2x" localSheetId="91">'444'!$N$78:$O$78</definedName>
    <definedName name="OSRRefE21_14_2x" localSheetId="92">'450'!$N$72:$O$72</definedName>
    <definedName name="OSRRefE21_14_2x" localSheetId="73">'491'!$N$78:$O$78</definedName>
    <definedName name="OSRRefE21_14_3x" localSheetId="72">'310 &amp; 491'!$N$86:$O$86</definedName>
    <definedName name="OSRRefE21_14_3x" localSheetId="58">'315'!$N$134:$O$134</definedName>
    <definedName name="OSRRefE21_14_3x" localSheetId="80">'415'!$N$79:$O$79</definedName>
    <definedName name="OSRRefE21_14_3x" localSheetId="91">'444'!$N$79:$O$79</definedName>
    <definedName name="OSRRefE21_14_3x" localSheetId="92">'450'!$N$73:$O$73</definedName>
    <definedName name="OSRRefE21_14_3x" localSheetId="73">'491'!$N$79:$O$79</definedName>
    <definedName name="OSRRefE21_14_4x" localSheetId="58">'315'!$N$135:$O$135</definedName>
    <definedName name="OSRRefE21_14_4x" localSheetId="80">'415'!$N$80:$O$80</definedName>
    <definedName name="OSRRefE21_14_4x" localSheetId="91">'444'!$N$80:$O$80</definedName>
    <definedName name="OSRRefE21_14_4x" localSheetId="92">'450'!$N$74:$O$74</definedName>
    <definedName name="OSRRefE21_14_5x" localSheetId="58">'315'!$N$136:$O$136</definedName>
    <definedName name="OSRRefE21_14_5x" localSheetId="80">'415'!$N$81:$O$81</definedName>
    <definedName name="OSRRefE21_14_5x" localSheetId="91">'444'!$N$81:$O$81</definedName>
    <definedName name="OSRRefE21_14_6x" localSheetId="58">'315'!$N$137:$O$137</definedName>
    <definedName name="OSRRefE21_14_6x" localSheetId="91">'444'!$N$82:$O$82</definedName>
    <definedName name="OSRRefE21_14_7x" localSheetId="91">'444'!$N$83:$O$83</definedName>
    <definedName name="OSRRefE21_14x_0" localSheetId="41">'201'!$N$68</definedName>
    <definedName name="OSRRefE21_14x_0" localSheetId="43">'203'!$N$70</definedName>
    <definedName name="OSRRefE21_14x_0" localSheetId="48">'300'!$N$175</definedName>
    <definedName name="OSRRefE21_14x_0" localSheetId="49">'300 &amp; 317'!$N$199</definedName>
    <definedName name="OSRRefE21_14x_0" localSheetId="50">'301'!$N$68</definedName>
    <definedName name="OSRRefE21_14x_0" localSheetId="64">'310'!$N$76:$N$78</definedName>
    <definedName name="OSRRefE21_14x_0" localSheetId="72">'310 &amp; 491'!$N$83:$N$86</definedName>
    <definedName name="OSRRefE21_14x_0" localSheetId="58">'315'!$N$131:$N$137</definedName>
    <definedName name="OSRRefE21_14x_0" localSheetId="69">'325'!$N$73</definedName>
    <definedName name="OSRRefE21_14x_0" localSheetId="59">'326'!$N$96:$N$97</definedName>
    <definedName name="OSRRefE21_14x_0" localSheetId="57">'331'!$N$131:$N$133</definedName>
    <definedName name="OSRRefE21_14x_0" localSheetId="74">'405'!$N$79</definedName>
    <definedName name="OSRRefE21_14x_0" localSheetId="76">'411'!$N$76</definedName>
    <definedName name="OSRRefE21_14x_0" localSheetId="80">'415'!$N$76:$N$81</definedName>
    <definedName name="OSRRefE21_14x_0" localSheetId="89">'433'!$N$82</definedName>
    <definedName name="OSRRefE21_14x_0" localSheetId="91">'444'!$N$76:$N$83</definedName>
    <definedName name="OSRRefE21_14x_0" localSheetId="92">'450'!$N$70:$N$74</definedName>
    <definedName name="OSRRefE21_14x_0" localSheetId="73">'491'!$N$76:$N$79</definedName>
    <definedName name="OSRRefE21_14x_0" localSheetId="87">'492'!$N$77</definedName>
    <definedName name="OSRRefE21_14x_0" localSheetId="39">'Div 2'!$N$73:$N$74</definedName>
    <definedName name="OSRRefE21_14x_0" localSheetId="47">'Div 3'!$N$178:$N$179</definedName>
    <definedName name="OSRRefE21_14x_0" localSheetId="71">'Div 4'!$N$79</definedName>
    <definedName name="OSRRefE21_14x_0" localSheetId="2">Summary!$N$209:$N$210</definedName>
    <definedName name="OSRRefE21_14x_1" localSheetId="41">'201'!$O$68</definedName>
    <definedName name="OSRRefE21_14x_1" localSheetId="43">'203'!$O$70</definedName>
    <definedName name="OSRRefE21_14x_1" localSheetId="48">'300'!$O$175</definedName>
    <definedName name="OSRRefE21_14x_1" localSheetId="49">'300 &amp; 317'!$O$199</definedName>
    <definedName name="OSRRefE21_14x_1" localSheetId="50">'301'!$O$68</definedName>
    <definedName name="OSRRefE21_14x_1" localSheetId="64">'310'!$O$76:$O$78</definedName>
    <definedName name="OSRRefE21_14x_1" localSheetId="72">'310 &amp; 491'!$O$83:$O$86</definedName>
    <definedName name="OSRRefE21_14x_1" localSheetId="58">'315'!$O$131:$O$137</definedName>
    <definedName name="OSRRefE21_14x_1" localSheetId="69">'325'!$O$73</definedName>
    <definedName name="OSRRefE21_14x_1" localSheetId="59">'326'!$O$96:$O$97</definedName>
    <definedName name="OSRRefE21_14x_1" localSheetId="57">'331'!$O$131:$O$133</definedName>
    <definedName name="OSRRefE21_14x_1" localSheetId="74">'405'!$O$79</definedName>
    <definedName name="OSRRefE21_14x_1" localSheetId="76">'411'!$O$76</definedName>
    <definedName name="OSRRefE21_14x_1" localSheetId="80">'415'!$O$76:$O$81</definedName>
    <definedName name="OSRRefE21_14x_1" localSheetId="89">'433'!$O$82</definedName>
    <definedName name="OSRRefE21_14x_1" localSheetId="91">'444'!$O$76:$O$83</definedName>
    <definedName name="OSRRefE21_14x_1" localSheetId="92">'450'!$O$70:$O$74</definedName>
    <definedName name="OSRRefE21_14x_1" localSheetId="73">'491'!$O$76:$O$79</definedName>
    <definedName name="OSRRefE21_14x_1" localSheetId="87">'492'!$O$77</definedName>
    <definedName name="OSRRefE21_14x_1" localSheetId="39">'Div 2'!$O$73:$O$74</definedName>
    <definedName name="OSRRefE21_14x_1" localSheetId="47">'Div 3'!$O$178:$O$179</definedName>
    <definedName name="OSRRefE21_14x_1" localSheetId="71">'Div 4'!$O$79</definedName>
    <definedName name="OSRRefE21_14x_1" localSheetId="2">Summary!$O$209:$O$210</definedName>
    <definedName name="OSRRefE21_15_0x" localSheetId="41">'201'!$N$70:$O$70</definedName>
    <definedName name="OSRRefE21_15_0x" localSheetId="48">'300'!$N$177:$O$177</definedName>
    <definedName name="OSRRefE21_15_0x" localSheetId="49">'300 &amp; 317'!$N$201:$O$201</definedName>
    <definedName name="OSRRefE21_15_0x" localSheetId="50">'301'!$N$70:$O$70</definedName>
    <definedName name="OSRRefE21_15_0x" localSheetId="64">'310'!$N$80:$O$80</definedName>
    <definedName name="OSRRefE21_15_0x" localSheetId="72">'310 &amp; 491'!$N$88:$O$88</definedName>
    <definedName name="OSRRefE21_15_0x" localSheetId="58">'315'!$N$139:$O$139</definedName>
    <definedName name="OSRRefE21_15_0x" localSheetId="59">'326'!$N$99:$O$99</definedName>
    <definedName name="OSRRefE21_15_0x" localSheetId="57">'331'!$N$135:$O$135</definedName>
    <definedName name="OSRRefE21_15_0x" localSheetId="74">'405'!$N$81:$O$81</definedName>
    <definedName name="OSRRefE21_15_0x" localSheetId="76">'411'!$N$78:$O$78</definedName>
    <definedName name="OSRRefE21_15_0x" localSheetId="80">'415'!$N$83:$O$83</definedName>
    <definedName name="OSRRefE21_15_0x" localSheetId="89">'433'!$N$84:$O$84</definedName>
    <definedName name="OSRRefE21_15_0x" localSheetId="91">'444'!$N$85:$O$85</definedName>
    <definedName name="OSRRefE21_15_0x" localSheetId="92">'450'!$N$76:$O$76</definedName>
    <definedName name="OSRRefE21_15_0x" localSheetId="73">'491'!$N$81:$O$81</definedName>
    <definedName name="OSRRefE21_15_0x" localSheetId="87">'492'!$N$79:$O$79</definedName>
    <definedName name="OSRRefE21_15_0x" localSheetId="39">'Div 2'!$N$76:$O$76</definedName>
    <definedName name="OSRRefE21_15_0x" localSheetId="47">'Div 3'!$N$181:$O$181</definedName>
    <definedName name="OSRRefE21_15_0x" localSheetId="71">'Div 4'!$N$81:$O$81</definedName>
    <definedName name="OSRRefE21_15_0x" localSheetId="2">Summary!$N$212:$O$212</definedName>
    <definedName name="OSRRefE21_15_1x" localSheetId="50">'301'!$N$71:$O$71</definedName>
    <definedName name="OSRRefE21_15_1x" localSheetId="64">'310'!$N$81:$O$81</definedName>
    <definedName name="OSRRefE21_15_1x" localSheetId="72">'310 &amp; 491'!$N$89:$O$89</definedName>
    <definedName name="OSRRefE21_15_1x" localSheetId="59">'326'!$N$100:$O$100</definedName>
    <definedName name="OSRRefE21_15_1x" localSheetId="57">'331'!$N$136:$O$136</definedName>
    <definedName name="OSRRefE21_15_1x" localSheetId="80">'415'!$N$84:$O$84</definedName>
    <definedName name="OSRRefE21_15_1x" localSheetId="91">'444'!$N$86:$O$86</definedName>
    <definedName name="OSRRefE21_15_1x" localSheetId="92">'450'!$N$77:$O$77</definedName>
    <definedName name="OSRRefE21_15_1x" localSheetId="73">'491'!$N$82:$O$82</definedName>
    <definedName name="OSRRefE21_15_1x" localSheetId="87">'492'!$N$80:$O$80</definedName>
    <definedName name="OSRRefE21_15_1x" localSheetId="39">'Div 2'!$N$77:$O$77</definedName>
    <definedName name="OSRRefE21_15_1x" localSheetId="71">'Div 4'!$N$82:$O$82</definedName>
    <definedName name="OSRRefE21_15_2x" localSheetId="50">'301'!$N$72:$O$72</definedName>
    <definedName name="OSRRefE21_15_2x" localSheetId="64">'310'!$N$82:$O$82</definedName>
    <definedName name="OSRRefE21_15_2x" localSheetId="59">'326'!$N$101:$O$101</definedName>
    <definedName name="OSRRefE21_15_2x" localSheetId="57">'331'!$N$137:$O$137</definedName>
    <definedName name="OSRRefE21_15_2x" localSheetId="87">'492'!$N$81:$O$81</definedName>
    <definedName name="OSRRefE21_15_2x" localSheetId="71">'Div 4'!$N$83:$O$83</definedName>
    <definedName name="OSRRefE21_15_3x" localSheetId="50">'301'!$N$73:$O$73</definedName>
    <definedName name="OSRRefE21_15_3x" localSheetId="64">'310'!$N$83:$O$83</definedName>
    <definedName name="OSRRefE21_15_3x" localSheetId="59">'326'!$N$102:$O$102</definedName>
    <definedName name="OSRRefE21_15_3x" localSheetId="87">'492'!$N$82:$O$82</definedName>
    <definedName name="OSRRefE21_15_3x" localSheetId="71">'Div 4'!$N$84:$O$84</definedName>
    <definedName name="OSRRefE21_15_4x" localSheetId="64">'310'!$N$84:$O$84</definedName>
    <definedName name="OSRRefE21_15_4x" localSheetId="59">'326'!$N$103:$O$103</definedName>
    <definedName name="OSRRefE21_15_4x" localSheetId="87">'492'!$N$83:$O$83</definedName>
    <definedName name="OSRRefE21_15_5x" localSheetId="64">'310'!$N$85:$O$85</definedName>
    <definedName name="OSRRefE21_15_5x" localSheetId="59">'326'!$N$104:$O$104</definedName>
    <definedName name="OSRRefE21_15_5x" localSheetId="87">'492'!$N$84:$O$84</definedName>
    <definedName name="OSRRefE21_15_6x" localSheetId="87">'492'!$N$85:$O$85</definedName>
    <definedName name="OSRRefE21_15_7x" localSheetId="87">'492'!$N$86:$O$86</definedName>
    <definedName name="OSRRefE21_15_8x" localSheetId="87">'492'!$N$87:$O$87</definedName>
    <definedName name="OSRRefE21_15_9x" localSheetId="87">'492'!$N$88:$O$88</definedName>
    <definedName name="OSRRefE21_15x_0" localSheetId="41">'201'!$N$70</definedName>
    <definedName name="OSRRefE21_15x_0" localSheetId="48">'300'!$N$177</definedName>
    <definedName name="OSRRefE21_15x_0" localSheetId="49">'300 &amp; 317'!$N$201</definedName>
    <definedName name="OSRRefE21_15x_0" localSheetId="50">'301'!$N$70:$N$73</definedName>
    <definedName name="OSRRefE21_15x_0" localSheetId="64">'310'!$N$80:$N$85</definedName>
    <definedName name="OSRRefE21_15x_0" localSheetId="72">'310 &amp; 491'!$N$88:$N$89</definedName>
    <definedName name="OSRRefE21_15x_0" localSheetId="58">'315'!$N$139</definedName>
    <definedName name="OSRRefE21_15x_0" localSheetId="59">'326'!$N$99:$N$104</definedName>
    <definedName name="OSRRefE21_15x_0" localSheetId="57">'331'!$N$135:$N$137</definedName>
    <definedName name="OSRRefE21_15x_0" localSheetId="74">'405'!$N$81</definedName>
    <definedName name="OSRRefE21_15x_0" localSheetId="76">'411'!$N$78</definedName>
    <definedName name="OSRRefE21_15x_0" localSheetId="80">'415'!$N$83:$N$84</definedName>
    <definedName name="OSRRefE21_15x_0" localSheetId="89">'433'!$N$84</definedName>
    <definedName name="OSRRefE21_15x_0" localSheetId="91">'444'!$N$85:$N$86</definedName>
    <definedName name="OSRRefE21_15x_0" localSheetId="92">'450'!$N$76:$N$77</definedName>
    <definedName name="OSRRefE21_15x_0" localSheetId="73">'491'!$N$81:$N$82</definedName>
    <definedName name="OSRRefE21_15x_0" localSheetId="87">'492'!$N$79:$N$88</definedName>
    <definedName name="OSRRefE21_15x_0" localSheetId="39">'Div 2'!$N$76:$N$77</definedName>
    <definedName name="OSRRefE21_15x_0" localSheetId="47">'Div 3'!$N$181</definedName>
    <definedName name="OSRRefE21_15x_0" localSheetId="71">'Div 4'!$N$81:$N$84</definedName>
    <definedName name="OSRRefE21_15x_0" localSheetId="2">Summary!$N$212</definedName>
    <definedName name="OSRRefE21_15x_1" localSheetId="41">'201'!$O$70</definedName>
    <definedName name="OSRRefE21_15x_1" localSheetId="48">'300'!$O$177</definedName>
    <definedName name="OSRRefE21_15x_1" localSheetId="49">'300 &amp; 317'!$O$201</definedName>
    <definedName name="OSRRefE21_15x_1" localSheetId="50">'301'!$O$70:$O$73</definedName>
    <definedName name="OSRRefE21_15x_1" localSheetId="64">'310'!$O$80:$O$85</definedName>
    <definedName name="OSRRefE21_15x_1" localSheetId="72">'310 &amp; 491'!$O$88:$O$89</definedName>
    <definedName name="OSRRefE21_15x_1" localSheetId="58">'315'!$O$139</definedName>
    <definedName name="OSRRefE21_15x_1" localSheetId="59">'326'!$O$99:$O$104</definedName>
    <definedName name="OSRRefE21_15x_1" localSheetId="57">'331'!$O$135:$O$137</definedName>
    <definedName name="OSRRefE21_15x_1" localSheetId="74">'405'!$O$81</definedName>
    <definedName name="OSRRefE21_15x_1" localSheetId="76">'411'!$O$78</definedName>
    <definedName name="OSRRefE21_15x_1" localSheetId="80">'415'!$O$83:$O$84</definedName>
    <definedName name="OSRRefE21_15x_1" localSheetId="89">'433'!$O$84</definedName>
    <definedName name="OSRRefE21_15x_1" localSheetId="91">'444'!$O$85:$O$86</definedName>
    <definedName name="OSRRefE21_15x_1" localSheetId="92">'450'!$O$76:$O$77</definedName>
    <definedName name="OSRRefE21_15x_1" localSheetId="73">'491'!$O$81:$O$82</definedName>
    <definedName name="OSRRefE21_15x_1" localSheetId="87">'492'!$O$79:$O$88</definedName>
    <definedName name="OSRRefE21_15x_1" localSheetId="39">'Div 2'!$O$76:$O$77</definedName>
    <definedName name="OSRRefE21_15x_1" localSheetId="47">'Div 3'!$O$181</definedName>
    <definedName name="OSRRefE21_15x_1" localSheetId="71">'Div 4'!$O$81:$O$84</definedName>
    <definedName name="OSRRefE21_15x_1" localSheetId="2">Summary!$O$212</definedName>
    <definedName name="OSRRefE21_16_0x" localSheetId="48">'300'!$N$179:$O$179</definedName>
    <definedName name="OSRRefE21_16_0x" localSheetId="49">'300 &amp; 317'!$N$203:$O$203</definedName>
    <definedName name="OSRRefE21_16_0x" localSheetId="50">'301'!$N$75:$O$75</definedName>
    <definedName name="OSRRefE21_16_0x" localSheetId="64">'310'!$N$87:$O$87</definedName>
    <definedName name="OSRRefE21_16_0x" localSheetId="72">'310 &amp; 491'!$N$91:$O$91</definedName>
    <definedName name="OSRRefE21_16_0x" localSheetId="58">'315'!$N$141:$O$141</definedName>
    <definedName name="OSRRefE21_16_0x" localSheetId="59">'326'!$N$106:$O$106</definedName>
    <definedName name="OSRRefE21_16_0x" localSheetId="57">'331'!$N$139:$O$139</definedName>
    <definedName name="OSRRefE21_16_0x" localSheetId="80">'415'!$N$86:$O$86</definedName>
    <definedName name="OSRRefE21_16_0x" localSheetId="91">'444'!$N$88:$O$88</definedName>
    <definedName name="OSRRefE21_16_0x" localSheetId="92">'450'!$N$79:$O$79</definedName>
    <definedName name="OSRRefE21_16_0x" localSheetId="73">'491'!$N$84:$O$84</definedName>
    <definedName name="OSRRefE21_16_0x" localSheetId="87">'492'!$N$90:$O$90</definedName>
    <definedName name="OSRRefE21_16_0x" localSheetId="39">'Div 2'!$N$79:$O$79</definedName>
    <definedName name="OSRRefE21_16_0x" localSheetId="47">'Div 3'!$N$183:$O$183</definedName>
    <definedName name="OSRRefE21_16_0x" localSheetId="71">'Div 4'!$N$86:$O$86</definedName>
    <definedName name="OSRRefE21_16_0x" localSheetId="2">Summary!$N$214:$O$214</definedName>
    <definedName name="OSRRefE21_16_1x" localSheetId="48">'300'!$N$180:$O$180</definedName>
    <definedName name="OSRRefE21_16_1x" localSheetId="49">'300 &amp; 317'!$N$204:$O$204</definedName>
    <definedName name="OSRRefE21_16_1x" localSheetId="50">'301'!$N$76:$O$76</definedName>
    <definedName name="OSRRefE21_16_1x" localSheetId="64">'310'!$N$88:$O$88</definedName>
    <definedName name="OSRRefE21_16_1x" localSheetId="72">'310 &amp; 491'!$N$92:$O$92</definedName>
    <definedName name="OSRRefE21_16_1x" localSheetId="58">'315'!$N$142:$O$142</definedName>
    <definedName name="OSRRefE21_16_1x" localSheetId="59">'326'!$N$107:$O$107</definedName>
    <definedName name="OSRRefE21_16_1x" localSheetId="57">'331'!$N$140:$O$140</definedName>
    <definedName name="OSRRefE21_16_1x" localSheetId="73">'491'!$N$85:$O$85</definedName>
    <definedName name="OSRRefE21_16_1x" localSheetId="87">'492'!$N$91:$O$91</definedName>
    <definedName name="OSRRefE21_16_1x" localSheetId="39">'Div 2'!$N$80:$O$80</definedName>
    <definedName name="OSRRefE21_16_1x" localSheetId="71">'Div 4'!$N$87:$O$87</definedName>
    <definedName name="OSRRefE21_16_2x" localSheetId="48">'300'!$N$181:$O$181</definedName>
    <definedName name="OSRRefE21_16_2x" localSheetId="49">'300 &amp; 317'!$N$205:$O$205</definedName>
    <definedName name="OSRRefE21_16_2x" localSheetId="50">'301'!$N$77:$O$77</definedName>
    <definedName name="OSRRefE21_16_2x" localSheetId="72">'310 &amp; 491'!$N$93:$O$93</definedName>
    <definedName name="OSRRefE21_16_2x" localSheetId="73">'491'!$N$86:$O$86</definedName>
    <definedName name="OSRRefE21_16_2x" localSheetId="39">'Div 2'!$N$81:$O$81</definedName>
    <definedName name="OSRRefE21_16_3x" localSheetId="48">'300'!$N$182:$O$182</definedName>
    <definedName name="OSRRefE21_16_3x" localSheetId="49">'300 &amp; 317'!$N$206:$O$206</definedName>
    <definedName name="OSRRefE21_16_3x" localSheetId="72">'310 &amp; 491'!$N$94:$O$94</definedName>
    <definedName name="OSRRefE21_16_3x" localSheetId="73">'491'!$N$87:$O$87</definedName>
    <definedName name="OSRRefE21_16_3x" localSheetId="39">'Div 2'!$N$82:$O$82</definedName>
    <definedName name="OSRRefE21_16_4x" localSheetId="72">'310 &amp; 491'!$N$95:$O$95</definedName>
    <definedName name="OSRRefE21_16_4x" localSheetId="73">'491'!$N$88:$O$88</definedName>
    <definedName name="OSRRefE21_16x_0" localSheetId="48">'300'!$N$179:$N$182</definedName>
    <definedName name="OSRRefE21_16x_0" localSheetId="49">'300 &amp; 317'!$N$203:$N$206</definedName>
    <definedName name="OSRRefE21_16x_0" localSheetId="50">'301'!$N$75:$N$77</definedName>
    <definedName name="OSRRefE21_16x_0" localSheetId="64">'310'!$N$87:$N$88</definedName>
    <definedName name="OSRRefE21_16x_0" localSheetId="72">'310 &amp; 491'!$N$91:$N$95</definedName>
    <definedName name="OSRRefE21_16x_0" localSheetId="58">'315'!$N$141:$N$142</definedName>
    <definedName name="OSRRefE21_16x_0" localSheetId="59">'326'!$N$106:$N$107</definedName>
    <definedName name="OSRRefE21_16x_0" localSheetId="57">'331'!$N$139:$N$140</definedName>
    <definedName name="OSRRefE21_16x_0" localSheetId="80">'415'!$N$86</definedName>
    <definedName name="OSRRefE21_16x_0" localSheetId="91">'444'!$N$88</definedName>
    <definedName name="OSRRefE21_16x_0" localSheetId="92">'450'!$N$79</definedName>
    <definedName name="OSRRefE21_16x_0" localSheetId="73">'491'!$N$84:$N$88</definedName>
    <definedName name="OSRRefE21_16x_0" localSheetId="87">'492'!$N$90:$N$91</definedName>
    <definedName name="OSRRefE21_16x_0" localSheetId="39">'Div 2'!$N$79:$N$82</definedName>
    <definedName name="OSRRefE21_16x_0" localSheetId="47">'Div 3'!$N$183</definedName>
    <definedName name="OSRRefE21_16x_0" localSheetId="71">'Div 4'!$N$86:$N$87</definedName>
    <definedName name="OSRRefE21_16x_0" localSheetId="2">Summary!$N$214</definedName>
    <definedName name="OSRRefE21_16x_1" localSheetId="48">'300'!$O$179:$O$182</definedName>
    <definedName name="OSRRefE21_16x_1" localSheetId="49">'300 &amp; 317'!$O$203:$O$206</definedName>
    <definedName name="OSRRefE21_16x_1" localSheetId="50">'301'!$O$75:$O$77</definedName>
    <definedName name="OSRRefE21_16x_1" localSheetId="64">'310'!$O$87:$O$88</definedName>
    <definedName name="OSRRefE21_16x_1" localSheetId="72">'310 &amp; 491'!$O$91:$O$95</definedName>
    <definedName name="OSRRefE21_16x_1" localSheetId="58">'315'!$O$141:$O$142</definedName>
    <definedName name="OSRRefE21_16x_1" localSheetId="59">'326'!$O$106:$O$107</definedName>
    <definedName name="OSRRefE21_16x_1" localSheetId="57">'331'!$O$139:$O$140</definedName>
    <definedName name="OSRRefE21_16x_1" localSheetId="80">'415'!$O$86</definedName>
    <definedName name="OSRRefE21_16x_1" localSheetId="91">'444'!$O$88</definedName>
    <definedName name="OSRRefE21_16x_1" localSheetId="92">'450'!$O$79</definedName>
    <definedName name="OSRRefE21_16x_1" localSheetId="73">'491'!$O$84:$O$88</definedName>
    <definedName name="OSRRefE21_16x_1" localSheetId="87">'492'!$O$90:$O$91</definedName>
    <definedName name="OSRRefE21_16x_1" localSheetId="39">'Div 2'!$O$79:$O$82</definedName>
    <definedName name="OSRRefE21_16x_1" localSheetId="47">'Div 3'!$O$183</definedName>
    <definedName name="OSRRefE21_16x_1" localSheetId="71">'Div 4'!$O$86:$O$87</definedName>
    <definedName name="OSRRefE21_16x_1" localSheetId="2">Summary!$O$214</definedName>
    <definedName name="OSRRefE21_17_0x" localSheetId="48">'300'!$N$184:$O$184</definedName>
    <definedName name="OSRRefE21_17_0x" localSheetId="49">'300 &amp; 317'!$N$208:$O$208</definedName>
    <definedName name="OSRRefE21_17_0x" localSheetId="50">'301'!$N$79:$O$79</definedName>
    <definedName name="OSRRefE21_17_0x" localSheetId="64">'310'!$N$90:$O$90</definedName>
    <definedName name="OSRRefE21_17_0x" localSheetId="72">'310 &amp; 491'!$N$97:$O$97</definedName>
    <definedName name="OSRRefE21_17_0x" localSheetId="59">'326'!$N$109:$O$109</definedName>
    <definedName name="OSRRefE21_17_0x" localSheetId="57">'331'!$N$142:$O$142</definedName>
    <definedName name="OSRRefE21_17_0x" localSheetId="80">'415'!$N$88:$O$88</definedName>
    <definedName name="OSRRefE21_17_0x" localSheetId="91">'444'!$N$90:$O$90</definedName>
    <definedName name="OSRRefE21_17_0x" localSheetId="73">'491'!$N$90:$O$90</definedName>
    <definedName name="OSRRefE21_17_0x" localSheetId="87">'492'!$N$93:$O$93</definedName>
    <definedName name="OSRRefE21_17_0x" localSheetId="39">'Div 2'!$N$84:$O$84</definedName>
    <definedName name="OSRRefE21_17_0x" localSheetId="47">'Div 3'!$N$185:$O$185</definedName>
    <definedName name="OSRRefE21_17_0x" localSheetId="71">'Div 4'!$N$89:$O$89</definedName>
    <definedName name="OSRRefE21_17_0x" localSheetId="2">Summary!$N$216:$O$216</definedName>
    <definedName name="OSRRefE21_17_1x" localSheetId="48">'300'!$N$185:$O$185</definedName>
    <definedName name="OSRRefE21_17_1x" localSheetId="49">'300 &amp; 317'!$N$209:$O$209</definedName>
    <definedName name="OSRRefE21_17_1x" localSheetId="57">'331'!$N$143:$O$143</definedName>
    <definedName name="OSRRefE21_17_1x" localSheetId="39">'Div 2'!$N$85:$O$85</definedName>
    <definedName name="OSRRefE21_17_1x" localSheetId="47">'Div 3'!$N$186:$O$186</definedName>
    <definedName name="OSRRefE21_17_1x" localSheetId="71">'Div 4'!$N$90:$O$90</definedName>
    <definedName name="OSRRefE21_17_2x" localSheetId="48">'300'!$N$186:$O$186</definedName>
    <definedName name="OSRRefE21_17_2x" localSheetId="49">'300 &amp; 317'!$N$210:$O$210</definedName>
    <definedName name="OSRRefE21_17_2x" localSheetId="57">'331'!$N$144:$O$144</definedName>
    <definedName name="OSRRefE21_17_2x" localSheetId="47">'Div 3'!$N$187:$O$187</definedName>
    <definedName name="OSRRefE21_17_2x" localSheetId="71">'Div 4'!$N$91:$O$91</definedName>
    <definedName name="OSRRefE21_17_3x" localSheetId="48">'300'!$N$187:$O$187</definedName>
    <definedName name="OSRRefE21_17_3x" localSheetId="49">'300 &amp; 317'!$N$211:$O$211</definedName>
    <definedName name="OSRRefE21_17_3x" localSheetId="57">'331'!$N$145:$O$145</definedName>
    <definedName name="OSRRefE21_17_3x" localSheetId="47">'Div 3'!$N$188:$O$188</definedName>
    <definedName name="OSRRefE21_17_3x" localSheetId="71">'Div 4'!$N$92:$O$92</definedName>
    <definedName name="OSRRefE21_17_4x" localSheetId="57">'331'!$N$146:$O$146</definedName>
    <definedName name="OSRRefE21_17_4x" localSheetId="71">'Div 4'!$N$93:$O$93</definedName>
    <definedName name="OSRRefE21_17_5x" localSheetId="57">'331'!$N$147:$O$147</definedName>
    <definedName name="OSRRefE21_17_6x" localSheetId="57">'331'!$N$148:$O$148</definedName>
    <definedName name="OSRRefE21_17_7x" localSheetId="57">'331'!$N$149:$O$149</definedName>
    <definedName name="OSRRefE21_17x_0" localSheetId="48">'300'!$N$184:$N$187</definedName>
    <definedName name="OSRRefE21_17x_0" localSheetId="49">'300 &amp; 317'!$N$208:$N$211</definedName>
    <definedName name="OSRRefE21_17x_0" localSheetId="50">'301'!$N$79</definedName>
    <definedName name="OSRRefE21_17x_0" localSheetId="64">'310'!$N$90</definedName>
    <definedName name="OSRRefE21_17x_0" localSheetId="72">'310 &amp; 491'!$N$97</definedName>
    <definedName name="OSRRefE21_17x_0" localSheetId="59">'326'!$N$109</definedName>
    <definedName name="OSRRefE21_17x_0" localSheetId="57">'331'!$N$142:$N$149</definedName>
    <definedName name="OSRRefE21_17x_0" localSheetId="80">'415'!$N$88</definedName>
    <definedName name="OSRRefE21_17x_0" localSheetId="91">'444'!$N$90</definedName>
    <definedName name="OSRRefE21_17x_0" localSheetId="73">'491'!$N$90</definedName>
    <definedName name="OSRRefE21_17x_0" localSheetId="87">'492'!$N$93</definedName>
    <definedName name="OSRRefE21_17x_0" localSheetId="39">'Div 2'!$N$84:$N$85</definedName>
    <definedName name="OSRRefE21_17x_0" localSheetId="47">'Div 3'!$N$185:$N$188</definedName>
    <definedName name="OSRRefE21_17x_0" localSheetId="71">'Div 4'!$N$89:$N$93</definedName>
    <definedName name="OSRRefE21_17x_0" localSheetId="2">Summary!$N$216</definedName>
    <definedName name="OSRRefE21_17x_1" localSheetId="48">'300'!$O$184:$O$187</definedName>
    <definedName name="OSRRefE21_17x_1" localSheetId="49">'300 &amp; 317'!$O$208:$O$211</definedName>
    <definedName name="OSRRefE21_17x_1" localSheetId="50">'301'!$O$79</definedName>
    <definedName name="OSRRefE21_17x_1" localSheetId="64">'310'!$O$90</definedName>
    <definedName name="OSRRefE21_17x_1" localSheetId="72">'310 &amp; 491'!$O$97</definedName>
    <definedName name="OSRRefE21_17x_1" localSheetId="59">'326'!$O$109</definedName>
    <definedName name="OSRRefE21_17x_1" localSheetId="57">'331'!$O$142:$O$149</definedName>
    <definedName name="OSRRefE21_17x_1" localSheetId="80">'415'!$O$88</definedName>
    <definedName name="OSRRefE21_17x_1" localSheetId="91">'444'!$O$90</definedName>
    <definedName name="OSRRefE21_17x_1" localSheetId="73">'491'!$O$90</definedName>
    <definedName name="OSRRefE21_17x_1" localSheetId="87">'492'!$O$93</definedName>
    <definedName name="OSRRefE21_17x_1" localSheetId="39">'Div 2'!$O$84:$O$85</definedName>
    <definedName name="OSRRefE21_17x_1" localSheetId="47">'Div 3'!$O$185:$O$188</definedName>
    <definedName name="OSRRefE21_17x_1" localSheetId="71">'Div 4'!$O$89:$O$93</definedName>
    <definedName name="OSRRefE21_17x_1" localSheetId="2">Summary!$O$216</definedName>
    <definedName name="OSRRefE21_18_0x" localSheetId="48">'300'!$N$189:$O$189</definedName>
    <definedName name="OSRRefE21_18_0x" localSheetId="49">'300 &amp; 317'!$N$213:$O$213</definedName>
    <definedName name="OSRRefE21_18_0x" localSheetId="50">'301'!$N$81:$O$81</definedName>
    <definedName name="OSRRefE21_18_0x" localSheetId="72">'310 &amp; 491'!$N$99:$O$99</definedName>
    <definedName name="OSRRefE21_18_0x" localSheetId="59">'326'!$N$111:$O$111</definedName>
    <definedName name="OSRRefE21_18_0x" localSheetId="57">'331'!$N$151:$O$151</definedName>
    <definedName name="OSRRefE21_18_0x" localSheetId="73">'491'!$N$92:$O$92</definedName>
    <definedName name="OSRRefE21_18_0x" localSheetId="87">'492'!$N$95:$O$95</definedName>
    <definedName name="OSRRefE21_18_0x" localSheetId="39">'Div 2'!$N$87:$O$87</definedName>
    <definedName name="OSRRefE21_18_0x" localSheetId="47">'Div 3'!$N$190:$O$190</definedName>
    <definedName name="OSRRefE21_18_0x" localSheetId="71">'Div 4'!$N$95:$O$95</definedName>
    <definedName name="OSRRefE21_18_0x" localSheetId="2">Summary!$N$218:$O$218</definedName>
    <definedName name="OSRRefE21_18_1x" localSheetId="48">'300'!$N$190:$O$190</definedName>
    <definedName name="OSRRefE21_18_1x" localSheetId="49">'300 &amp; 317'!$N$214:$O$214</definedName>
    <definedName name="OSRRefE21_18_1x" localSheetId="50">'301'!$N$82:$O$82</definedName>
    <definedName name="OSRRefE21_18_1x" localSheetId="72">'310 &amp; 491'!$N$100:$O$100</definedName>
    <definedName name="OSRRefE21_18_1x" localSheetId="59">'326'!$N$112:$O$112</definedName>
    <definedName name="OSRRefE21_18_1x" localSheetId="57">'331'!$N$152:$O$152</definedName>
    <definedName name="OSRRefE21_18_1x" localSheetId="73">'491'!$N$93:$O$93</definedName>
    <definedName name="OSRRefE21_18_1x" localSheetId="87">'492'!$N$96:$O$96</definedName>
    <definedName name="OSRRefE21_18_1x" localSheetId="47">'Div 3'!$N$191:$O$191</definedName>
    <definedName name="OSRRefE21_18_1x" localSheetId="71">'Div 4'!$N$96:$O$96</definedName>
    <definedName name="OSRRefE21_18_1x" localSheetId="2">Summary!$N$219:$O$219</definedName>
    <definedName name="OSRRefE21_18_2x" localSheetId="48">'300'!$N$191:$O$191</definedName>
    <definedName name="OSRRefE21_18_2x" localSheetId="49">'300 &amp; 317'!$N$215:$O$215</definedName>
    <definedName name="OSRRefE21_18_2x" localSheetId="50">'301'!$N$83:$O$83</definedName>
    <definedName name="OSRRefE21_18_2x" localSheetId="72">'310 &amp; 491'!$N$101:$O$101</definedName>
    <definedName name="OSRRefE21_18_2x" localSheetId="73">'491'!$N$94:$O$94</definedName>
    <definedName name="OSRRefE21_18_2x" localSheetId="47">'Div 3'!$N$192:$O$192</definedName>
    <definedName name="OSRRefE21_18_2x" localSheetId="2">Summary!$N$220:$O$220</definedName>
    <definedName name="OSRRefE21_18_3x" localSheetId="48">'300'!$N$192:$O$192</definedName>
    <definedName name="OSRRefE21_18_3x" localSheetId="49">'300 &amp; 317'!$N$216:$O$216</definedName>
    <definedName name="OSRRefE21_18_3x" localSheetId="50">'301'!$N$84:$O$84</definedName>
    <definedName name="OSRRefE21_18_3x" localSheetId="72">'310 &amp; 491'!$N$102:$O$102</definedName>
    <definedName name="OSRRefE21_18_3x" localSheetId="73">'491'!$N$95:$O$95</definedName>
    <definedName name="OSRRefE21_18_3x" localSheetId="47">'Div 3'!$N$193:$O$193</definedName>
    <definedName name="OSRRefE21_18_3x" localSheetId="2">Summary!$N$221:$O$221</definedName>
    <definedName name="OSRRefE21_18_4x" localSheetId="50">'301'!$N$85:$O$85</definedName>
    <definedName name="OSRRefE21_18_4x" localSheetId="72">'310 &amp; 491'!$N$103:$O$103</definedName>
    <definedName name="OSRRefE21_18_4x" localSheetId="73">'491'!$N$96:$O$96</definedName>
    <definedName name="OSRRefE21_18_5x" localSheetId="50">'301'!$N$86:$O$86</definedName>
    <definedName name="OSRRefE21_18_5x" localSheetId="72">'310 &amp; 491'!$N$104:$O$104</definedName>
    <definedName name="OSRRefE21_18_5x" localSheetId="73">'491'!$N$97:$O$97</definedName>
    <definedName name="OSRRefE21_18_6x" localSheetId="50">'301'!$N$87:$O$87</definedName>
    <definedName name="OSRRefE21_18_6x" localSheetId="72">'310 &amp; 491'!$N$105:$O$105</definedName>
    <definedName name="OSRRefE21_18_6x" localSheetId="73">'491'!$N$98:$O$98</definedName>
    <definedName name="OSRRefE21_18_7x" localSheetId="72">'310 &amp; 491'!$N$106:$O$106</definedName>
    <definedName name="OSRRefE21_18_7x" localSheetId="73">'491'!$N$99:$O$99</definedName>
    <definedName name="OSRRefE21_18_8x" localSheetId="72">'310 &amp; 491'!$N$107:$O$107</definedName>
    <definedName name="OSRRefE21_18_8x" localSheetId="73">'491'!$N$100:$O$100</definedName>
    <definedName name="OSRRefE21_18_9x" localSheetId="72">'310 &amp; 491'!$N$108:$O$108</definedName>
    <definedName name="OSRRefE21_18_9x" localSheetId="73">'491'!$N$101:$O$101</definedName>
    <definedName name="OSRRefE21_18x_0" localSheetId="48">'300'!$N$189:$N$192</definedName>
    <definedName name="OSRRefE21_18x_0" localSheetId="49">'300 &amp; 317'!$N$213:$N$216</definedName>
    <definedName name="OSRRefE21_18x_0" localSheetId="50">'301'!$N$81:$N$87</definedName>
    <definedName name="OSRRefE21_18x_0" localSheetId="72">'310 &amp; 491'!$N$99:$N$108</definedName>
    <definedName name="OSRRefE21_18x_0" localSheetId="59">'326'!$N$111:$N$112</definedName>
    <definedName name="OSRRefE21_18x_0" localSheetId="57">'331'!$N$151:$N$152</definedName>
    <definedName name="OSRRefE21_18x_0" localSheetId="73">'491'!$N$92:$N$101</definedName>
    <definedName name="OSRRefE21_18x_0" localSheetId="87">'492'!$N$95:$N$96</definedName>
    <definedName name="OSRRefE21_18x_0" localSheetId="39">'Div 2'!$N$87</definedName>
    <definedName name="OSRRefE21_18x_0" localSheetId="47">'Div 3'!$N$190:$N$193</definedName>
    <definedName name="OSRRefE21_18x_0" localSheetId="71">'Div 4'!$N$95:$N$96</definedName>
    <definedName name="OSRRefE21_18x_0" localSheetId="2">Summary!$N$218:$N$221</definedName>
    <definedName name="OSRRefE21_18x_1" localSheetId="48">'300'!$O$189:$O$192</definedName>
    <definedName name="OSRRefE21_18x_1" localSheetId="49">'300 &amp; 317'!$O$213:$O$216</definedName>
    <definedName name="OSRRefE21_18x_1" localSheetId="50">'301'!$O$81:$O$87</definedName>
    <definedName name="OSRRefE21_18x_1" localSheetId="72">'310 &amp; 491'!$O$99:$O$108</definedName>
    <definedName name="OSRRefE21_18x_1" localSheetId="59">'326'!$O$111:$O$112</definedName>
    <definedName name="OSRRefE21_18x_1" localSheetId="57">'331'!$O$151:$O$152</definedName>
    <definedName name="OSRRefE21_18x_1" localSheetId="73">'491'!$O$92:$O$101</definedName>
    <definedName name="OSRRefE21_18x_1" localSheetId="87">'492'!$O$95:$O$96</definedName>
    <definedName name="OSRRefE21_18x_1" localSheetId="39">'Div 2'!$O$87</definedName>
    <definedName name="OSRRefE21_18x_1" localSheetId="47">'Div 3'!$O$190:$O$193</definedName>
    <definedName name="OSRRefE21_18x_1" localSheetId="71">'Div 4'!$O$95:$O$96</definedName>
    <definedName name="OSRRefE21_18x_1" localSheetId="2">Summary!$O$218:$O$221</definedName>
    <definedName name="OSRRefE21_19_0x" localSheetId="48">'300'!$N$194:$O$194</definedName>
    <definedName name="OSRRefE21_19_0x" localSheetId="49">'300 &amp; 317'!$N$218:$O$218</definedName>
    <definedName name="OSRRefE21_19_0x" localSheetId="50">'301'!$N$89:$O$89</definedName>
    <definedName name="OSRRefE21_19_0x" localSheetId="72">'310 &amp; 491'!$N$110:$O$110</definedName>
    <definedName name="OSRRefE21_19_0x" localSheetId="59">'326'!$N$114:$O$114</definedName>
    <definedName name="OSRRefE21_19_0x" localSheetId="57">'331'!$N$154:$O$154</definedName>
    <definedName name="OSRRefE21_19_0x" localSheetId="73">'491'!$N$103:$O$103</definedName>
    <definedName name="OSRRefE21_19_0x" localSheetId="39">'Div 2'!$N$89:$O$89</definedName>
    <definedName name="OSRRefE21_19_0x" localSheetId="47">'Div 3'!$N$195:$O$195</definedName>
    <definedName name="OSRRefE21_19_0x" localSheetId="71">'Div 4'!$N$98:$O$98</definedName>
    <definedName name="OSRRefE21_19_0x" localSheetId="2">Summary!$N$223:$O$223</definedName>
    <definedName name="OSRRefE21_19_10x" localSheetId="71">'Div 4'!$N$108:$O$108</definedName>
    <definedName name="OSRRefE21_19_1x" localSheetId="48">'300'!$N$195:$O$195</definedName>
    <definedName name="OSRRefE21_19_1x" localSheetId="49">'300 &amp; 317'!$N$219:$O$219</definedName>
    <definedName name="OSRRefE21_19_1x" localSheetId="72">'310 &amp; 491'!$N$111:$O$111</definedName>
    <definedName name="OSRRefE21_19_1x" localSheetId="73">'491'!$N$104:$O$104</definedName>
    <definedName name="OSRRefE21_19_1x" localSheetId="39">'Div 2'!$N$90:$O$90</definedName>
    <definedName name="OSRRefE21_19_1x" localSheetId="47">'Div 3'!$N$196:$O$196</definedName>
    <definedName name="OSRRefE21_19_1x" localSheetId="71">'Div 4'!$N$99:$O$99</definedName>
    <definedName name="OSRRefE21_19_1x" localSheetId="2">Summary!$N$224:$O$224</definedName>
    <definedName name="OSRRefE21_19_2x" localSheetId="47">'Div 3'!$N$197:$O$197</definedName>
    <definedName name="OSRRefE21_19_2x" localSheetId="71">'Div 4'!$N$100:$O$100</definedName>
    <definedName name="OSRRefE21_19_2x" localSheetId="2">Summary!$N$225:$O$225</definedName>
    <definedName name="OSRRefE21_19_3x" localSheetId="47">'Div 3'!$N$198:$O$198</definedName>
    <definedName name="OSRRefE21_19_3x" localSheetId="71">'Div 4'!$N$101:$O$101</definedName>
    <definedName name="OSRRefE21_19_3x" localSheetId="2">Summary!$N$226:$O$226</definedName>
    <definedName name="OSRRefE21_19_4x" localSheetId="71">'Div 4'!$N$102:$O$102</definedName>
    <definedName name="OSRRefE21_19_5x" localSheetId="71">'Div 4'!$N$103:$O$103</definedName>
    <definedName name="OSRRefE21_19_6x" localSheetId="71">'Div 4'!$N$104:$O$104</definedName>
    <definedName name="OSRRefE21_19_7x" localSheetId="71">'Div 4'!$N$105:$O$105</definedName>
    <definedName name="OSRRefE21_19_8x" localSheetId="71">'Div 4'!$N$106:$O$106</definedName>
    <definedName name="OSRRefE21_19_9x" localSheetId="71">'Div 4'!$N$107:$O$107</definedName>
    <definedName name="OSRRefE21_19x_0" localSheetId="48">'300'!$N$194:$N$195</definedName>
    <definedName name="OSRRefE21_19x_0" localSheetId="49">'300 &amp; 317'!$N$218:$N$219</definedName>
    <definedName name="OSRRefE21_19x_0" localSheetId="50">'301'!$N$89</definedName>
    <definedName name="OSRRefE21_19x_0" localSheetId="72">'310 &amp; 491'!$N$110:$N$111</definedName>
    <definedName name="OSRRefE21_19x_0" localSheetId="59">'326'!$N$114</definedName>
    <definedName name="OSRRefE21_19x_0" localSheetId="57">'331'!$N$154</definedName>
    <definedName name="OSRRefE21_19x_0" localSheetId="73">'491'!$N$103:$N$104</definedName>
    <definedName name="OSRRefE21_19x_0" localSheetId="39">'Div 2'!$N$89:$N$90</definedName>
    <definedName name="OSRRefE21_19x_0" localSheetId="47">'Div 3'!$N$195:$N$198</definedName>
    <definedName name="OSRRefE21_19x_0" localSheetId="71">'Div 4'!$N$98:$N$108</definedName>
    <definedName name="OSRRefE21_19x_0" localSheetId="2">Summary!$N$223:$N$226</definedName>
    <definedName name="OSRRefE21_19x_1" localSheetId="48">'300'!$O$194:$O$195</definedName>
    <definedName name="OSRRefE21_19x_1" localSheetId="49">'300 &amp; 317'!$O$218:$O$219</definedName>
    <definedName name="OSRRefE21_19x_1" localSheetId="50">'301'!$O$89</definedName>
    <definedName name="OSRRefE21_19x_1" localSheetId="72">'310 &amp; 491'!$O$110:$O$111</definedName>
    <definedName name="OSRRefE21_19x_1" localSheetId="59">'326'!$O$114</definedName>
    <definedName name="OSRRefE21_19x_1" localSheetId="57">'331'!$O$154</definedName>
    <definedName name="OSRRefE21_19x_1" localSheetId="73">'491'!$O$103:$O$104</definedName>
    <definedName name="OSRRefE21_19x_1" localSheetId="39">'Div 2'!$O$89:$O$90</definedName>
    <definedName name="OSRRefE21_19x_1" localSheetId="47">'Div 3'!$O$195:$O$198</definedName>
    <definedName name="OSRRefE21_19x_1" localSheetId="71">'Div 4'!$O$98:$O$108</definedName>
    <definedName name="OSRRefE21_19x_1" localSheetId="2">Summary!$O$223:$O$226</definedName>
    <definedName name="OSRRefE21_1x_0" localSheetId="40">'200'!$N$21</definedName>
    <definedName name="OSRRefE21_1x_0" localSheetId="41">'201'!$N$29:$N$38</definedName>
    <definedName name="OSRRefE21_1x_0" localSheetId="42">'202'!$N$29:$N$38</definedName>
    <definedName name="OSRRefE21_1x_0" localSheetId="43">'203'!$N$30:$N$39</definedName>
    <definedName name="OSRRefE21_1x_0" localSheetId="44">'204'!$N$30:$N$39</definedName>
    <definedName name="OSRRefE21_1x_0" localSheetId="45">'205'!$N$29:$N$38</definedName>
    <definedName name="OSRRefE21_1x_0" localSheetId="46">'206'!$N$29:$N$38</definedName>
    <definedName name="OSRRefE21_1x_0" localSheetId="48">'300'!$N$134:$N$143</definedName>
    <definedName name="OSRRefE21_1x_0" localSheetId="49">'300 &amp; 317'!$N$158:$N$167</definedName>
    <definedName name="OSRRefE21_1x_0" localSheetId="50">'301'!$N$31:$N$40</definedName>
    <definedName name="OSRRefE21_1x_0" localSheetId="51">'306'!$N$29:$N$38</definedName>
    <definedName name="OSRRefE21_1x_0" localSheetId="53">'307'!$N$47:$N$56</definedName>
    <definedName name="OSRRefE21_1x_0" localSheetId="54">'308'!$N$69:$N$78</definedName>
    <definedName name="OSRRefE21_1x_0" localSheetId="65">'309'!$N$30:$N$39</definedName>
    <definedName name="OSRRefE21_1x_0" localSheetId="64">'310'!$N$39:$N$48</definedName>
    <definedName name="OSRRefE21_1x_0" localSheetId="72">'310 &amp; 491'!$N$45:$N$54</definedName>
    <definedName name="OSRRefE21_1x_0" localSheetId="55">'311'!$N$68:$N$77</definedName>
    <definedName name="OSRRefE21_1x_0" localSheetId="66">'313'!$N$34:$N$43</definedName>
    <definedName name="OSRRefE21_1x_0" localSheetId="58">'315'!$N$90:$N$99</definedName>
    <definedName name="OSRRefE21_1x_0" localSheetId="61">'316'!$N$41:$N$50</definedName>
    <definedName name="OSRRefE21_1x_0" localSheetId="63">'317'!$N$63:$N$72</definedName>
    <definedName name="OSRRefE21_1x_0" localSheetId="67">'321'!$N$33:$N$42</definedName>
    <definedName name="OSRRefE21_1x_0" localSheetId="68">'322'!$N$31:$N$40</definedName>
    <definedName name="OSRRefE21_1x_0" localSheetId="56">'324'!$N$35:$N$44</definedName>
    <definedName name="OSRRefE21_1x_0" localSheetId="69">'325'!$N$30:$N$39</definedName>
    <definedName name="OSRRefE21_1x_0" localSheetId="59">'326'!$N$57:$N$66</definedName>
    <definedName name="OSRRefE21_1x_0" localSheetId="70">'327'!$N$25</definedName>
    <definedName name="OSRRefE21_1x_0" localSheetId="52">'330'!$N$51:$N$60</definedName>
    <definedName name="OSRRefE21_1x_0" localSheetId="57">'331'!$N$91:$N$100</definedName>
    <definedName name="OSRRefE21_1x_0" localSheetId="60">'332'!$N$43:$N$52</definedName>
    <definedName name="OSRRefE21_1x_0" localSheetId="74">'405'!$N$32:$N$41</definedName>
    <definedName name="OSRRefE21_1x_0" localSheetId="75">'406'!$N$21</definedName>
    <definedName name="OSRRefE21_1x_0" localSheetId="76">'411'!$N$29:$N$38</definedName>
    <definedName name="OSRRefE21_1x_0" localSheetId="77">'412'!$N$30:$N$39</definedName>
    <definedName name="OSRRefE21_1x_0" localSheetId="78">'413'!$N$32:$N$41</definedName>
    <definedName name="OSRRefE21_1x_0" localSheetId="79">'414'!$N$34:$N$43</definedName>
    <definedName name="OSRRefE21_1x_0" localSheetId="80">'415'!$N$36:$N$45</definedName>
    <definedName name="OSRRefE21_1x_0" localSheetId="81">'418'!$N$32:$N$41</definedName>
    <definedName name="OSRRefE21_1x_0" localSheetId="82">'420'!$N$23</definedName>
    <definedName name="OSRRefE21_1x_0" localSheetId="83">'423'!$N$28:$N$37</definedName>
    <definedName name="OSRRefE21_1x_0" localSheetId="84">'424'!$N$21</definedName>
    <definedName name="OSRRefE21_1x_0" localSheetId="85">'425'!$N$26</definedName>
    <definedName name="OSRRefE21_1x_0" localSheetId="88">'430'!$N$29:$N$38</definedName>
    <definedName name="OSRRefE21_1x_0" localSheetId="89">'433'!$N$37:$N$46</definedName>
    <definedName name="OSRRefE21_1x_0" localSheetId="91">'444'!$N$37:$N$46</definedName>
    <definedName name="OSRRefE21_1x_0" localSheetId="92">'450'!$N$33:$N$42</definedName>
    <definedName name="OSRRefE21_1x_0" localSheetId="73">'491'!$N$39:$N$48</definedName>
    <definedName name="OSRRefE21_1x_0" localSheetId="87">'492'!$N$37:$N$46</definedName>
    <definedName name="OSRRefE21_1x_0" localSheetId="94">'501'!$N$32:$N$41</definedName>
    <definedName name="OSRRefE21_1x_0" localSheetId="39">'Div 2'!$N$31:$N$40</definedName>
    <definedName name="OSRRefE21_1x_0" localSheetId="47">'Div 3'!$N$138:$N$147</definedName>
    <definedName name="OSRRefE21_1x_0" localSheetId="71">'Div 4'!$N$42:$N$51</definedName>
    <definedName name="OSRRefE21_1x_0" localSheetId="93">'Div 5'!$N$32:$N$41</definedName>
    <definedName name="OSRRefE21_1x_0" localSheetId="62">'Div 6'!$N$63:$N$72</definedName>
    <definedName name="OSRRefE21_1x_0" localSheetId="2">Summary!$N$168:$N$177</definedName>
    <definedName name="OSRRefE21_1x_1" localSheetId="40">'200'!$O$21</definedName>
    <definedName name="OSRRefE21_1x_1" localSheetId="41">'201'!$O$29:$O$38</definedName>
    <definedName name="OSRRefE21_1x_1" localSheetId="42">'202'!$O$29:$O$38</definedName>
    <definedName name="OSRRefE21_1x_1" localSheetId="43">'203'!$O$30:$O$39</definedName>
    <definedName name="OSRRefE21_1x_1" localSheetId="44">'204'!$O$30:$O$39</definedName>
    <definedName name="OSRRefE21_1x_1" localSheetId="45">'205'!$O$29:$O$38</definedName>
    <definedName name="OSRRefE21_1x_1" localSheetId="46">'206'!$O$29:$O$38</definedName>
    <definedName name="OSRRefE21_1x_1" localSheetId="48">'300'!$O$134:$O$143</definedName>
    <definedName name="OSRRefE21_1x_1" localSheetId="49">'300 &amp; 317'!$O$158:$O$167</definedName>
    <definedName name="OSRRefE21_1x_1" localSheetId="50">'301'!$O$31:$O$40</definedName>
    <definedName name="OSRRefE21_1x_1" localSheetId="51">'306'!$O$29:$O$38</definedName>
    <definedName name="OSRRefE21_1x_1" localSheetId="53">'307'!$O$47:$O$56</definedName>
    <definedName name="OSRRefE21_1x_1" localSheetId="54">'308'!$O$69:$O$78</definedName>
    <definedName name="OSRRefE21_1x_1" localSheetId="65">'309'!$O$30:$O$39</definedName>
    <definedName name="OSRRefE21_1x_1" localSheetId="64">'310'!$O$39:$O$48</definedName>
    <definedName name="OSRRefE21_1x_1" localSheetId="72">'310 &amp; 491'!$O$45:$O$54</definedName>
    <definedName name="OSRRefE21_1x_1" localSheetId="55">'311'!$O$68:$O$77</definedName>
    <definedName name="OSRRefE21_1x_1" localSheetId="66">'313'!$O$34:$O$43</definedName>
    <definedName name="OSRRefE21_1x_1" localSheetId="58">'315'!$O$90:$O$99</definedName>
    <definedName name="OSRRefE21_1x_1" localSheetId="61">'316'!$O$41:$O$50</definedName>
    <definedName name="OSRRefE21_1x_1" localSheetId="63">'317'!$O$63:$O$72</definedName>
    <definedName name="OSRRefE21_1x_1" localSheetId="67">'321'!$O$33:$O$42</definedName>
    <definedName name="OSRRefE21_1x_1" localSheetId="68">'322'!$O$31:$O$40</definedName>
    <definedName name="OSRRefE21_1x_1" localSheetId="56">'324'!$O$35:$O$44</definedName>
    <definedName name="OSRRefE21_1x_1" localSheetId="69">'325'!$O$30:$O$39</definedName>
    <definedName name="OSRRefE21_1x_1" localSheetId="59">'326'!$O$57:$O$66</definedName>
    <definedName name="OSRRefE21_1x_1" localSheetId="70">'327'!$O$25</definedName>
    <definedName name="OSRRefE21_1x_1" localSheetId="52">'330'!$O$51:$O$60</definedName>
    <definedName name="OSRRefE21_1x_1" localSheetId="57">'331'!$O$91:$O$100</definedName>
    <definedName name="OSRRefE21_1x_1" localSheetId="60">'332'!$O$43:$O$52</definedName>
    <definedName name="OSRRefE21_1x_1" localSheetId="74">'405'!$O$32:$O$41</definedName>
    <definedName name="OSRRefE21_1x_1" localSheetId="75">'406'!$O$21</definedName>
    <definedName name="OSRRefE21_1x_1" localSheetId="76">'411'!$O$29:$O$38</definedName>
    <definedName name="OSRRefE21_1x_1" localSheetId="77">'412'!$O$30:$O$39</definedName>
    <definedName name="OSRRefE21_1x_1" localSheetId="78">'413'!$O$32:$O$41</definedName>
    <definedName name="OSRRefE21_1x_1" localSheetId="79">'414'!$O$34:$O$43</definedName>
    <definedName name="OSRRefE21_1x_1" localSheetId="80">'415'!$O$36:$O$45</definedName>
    <definedName name="OSRRefE21_1x_1" localSheetId="81">'418'!$O$32:$O$41</definedName>
    <definedName name="OSRRefE21_1x_1" localSheetId="82">'420'!$O$23</definedName>
    <definedName name="OSRRefE21_1x_1" localSheetId="83">'423'!$O$28:$O$37</definedName>
    <definedName name="OSRRefE21_1x_1" localSheetId="84">'424'!$O$21</definedName>
    <definedName name="OSRRefE21_1x_1" localSheetId="85">'425'!$O$26</definedName>
    <definedName name="OSRRefE21_1x_1" localSheetId="88">'430'!$O$29:$O$38</definedName>
    <definedName name="OSRRefE21_1x_1" localSheetId="89">'433'!$O$37:$O$46</definedName>
    <definedName name="OSRRefE21_1x_1" localSheetId="91">'444'!$O$37:$O$46</definedName>
    <definedName name="OSRRefE21_1x_1" localSheetId="92">'450'!$O$33:$O$42</definedName>
    <definedName name="OSRRefE21_1x_1" localSheetId="73">'491'!$O$39:$O$48</definedName>
    <definedName name="OSRRefE21_1x_1" localSheetId="87">'492'!$O$37:$O$46</definedName>
    <definedName name="OSRRefE21_1x_1" localSheetId="94">'501'!$O$32:$O$41</definedName>
    <definedName name="OSRRefE21_1x_1" localSheetId="39">'Div 2'!$O$31:$O$40</definedName>
    <definedName name="OSRRefE21_1x_1" localSheetId="47">'Div 3'!$O$138:$O$147</definedName>
    <definedName name="OSRRefE21_1x_1" localSheetId="71">'Div 4'!$O$42:$O$51</definedName>
    <definedName name="OSRRefE21_1x_1" localSheetId="93">'Div 5'!$O$32:$O$41</definedName>
    <definedName name="OSRRefE21_1x_1" localSheetId="62">'Div 6'!$O$63:$O$72</definedName>
    <definedName name="OSRRefE21_1x_1" localSheetId="2">Summary!$O$168:$O$177</definedName>
    <definedName name="OSRRefE21_2_0x" localSheetId="40">'200'!$N$23:$O$23</definedName>
    <definedName name="OSRRefE21_2_0x" localSheetId="41">'201'!$N$40:$O$40</definedName>
    <definedName name="OSRRefE21_2_0x" localSheetId="42">'202'!$N$40:$O$40</definedName>
    <definedName name="OSRRefE21_2_0x" localSheetId="43">'203'!$N$41:$O$41</definedName>
    <definedName name="OSRRefE21_2_0x" localSheetId="44">'204'!$N$41:$O$41</definedName>
    <definedName name="OSRRefE21_2_0x" localSheetId="45">'205'!$N$40:$O$40</definedName>
    <definedName name="OSRRefE21_2_0x" localSheetId="46">'206'!$N$40:$O$40</definedName>
    <definedName name="OSRRefE21_2_0x" localSheetId="48">'300'!$N$145:$O$145</definedName>
    <definedName name="OSRRefE21_2_0x" localSheetId="49">'300 &amp; 317'!$N$169:$O$169</definedName>
    <definedName name="OSRRefE21_2_0x" localSheetId="50">'301'!$N$42:$O$42</definedName>
    <definedName name="OSRRefE21_2_0x" localSheetId="51">'306'!$N$40:$O$40</definedName>
    <definedName name="OSRRefE21_2_0x" localSheetId="53">'307'!$N$58:$O$58</definedName>
    <definedName name="OSRRefE21_2_0x" localSheetId="54">'308'!$N$80:$O$80</definedName>
    <definedName name="OSRRefE21_2_0x" localSheetId="65">'309'!$N$41:$O$41</definedName>
    <definedName name="OSRRefE21_2_0x" localSheetId="64">'310'!$N$50:$O$50</definedName>
    <definedName name="OSRRefE21_2_0x" localSheetId="72">'310 &amp; 491'!$N$56:$O$56</definedName>
    <definedName name="OSRRefE21_2_0x" localSheetId="55">'311'!$N$79:$O$79</definedName>
    <definedName name="OSRRefE21_2_0x" localSheetId="66">'313'!$N$45:$O$45</definedName>
    <definedName name="OSRRefE21_2_0x" localSheetId="58">'315'!$N$101:$O$101</definedName>
    <definedName name="OSRRefE21_2_0x" localSheetId="61">'316'!$N$52:$O$52</definedName>
    <definedName name="OSRRefE21_2_0x" localSheetId="63">'317'!$N$74:$O$74</definedName>
    <definedName name="OSRRefE21_2_0x" localSheetId="67">'321'!$N$44:$O$44</definedName>
    <definedName name="OSRRefE21_2_0x" localSheetId="68">'322'!$N$42:$O$42</definedName>
    <definedName name="OSRRefE21_2_0x" localSheetId="69">'325'!$N$41:$O$41</definedName>
    <definedName name="OSRRefE21_2_0x" localSheetId="59">'326'!$N$68:$O$68</definedName>
    <definedName name="OSRRefE21_2_0x" localSheetId="52">'330'!$N$62:$O$62</definedName>
    <definedName name="OSRRefE21_2_0x" localSheetId="57">'331'!$N$102:$O$102</definedName>
    <definedName name="OSRRefE21_2_0x" localSheetId="60">'332'!$N$54:$O$54</definedName>
    <definedName name="OSRRefE21_2_0x" localSheetId="74">'405'!$N$43:$O$43</definedName>
    <definedName name="OSRRefE21_2_0x" localSheetId="75">'406'!$N$23:$O$23</definedName>
    <definedName name="OSRRefE21_2_0x" localSheetId="76">'411'!$N$40:$O$40</definedName>
    <definedName name="OSRRefE21_2_0x" localSheetId="77">'412'!$N$41:$O$41</definedName>
    <definedName name="OSRRefE21_2_0x" localSheetId="78">'413'!$N$43:$O$43</definedName>
    <definedName name="OSRRefE21_2_0x" localSheetId="79">'414'!$N$45:$O$45</definedName>
    <definedName name="OSRRefE21_2_0x" localSheetId="80">'415'!$N$47:$O$47</definedName>
    <definedName name="OSRRefE21_2_0x" localSheetId="81">'418'!$N$43:$O$43</definedName>
    <definedName name="OSRRefE21_2_0x" localSheetId="83">'423'!$N$39:$O$39</definedName>
    <definedName name="OSRRefE21_2_0x" localSheetId="84">'424'!$N$23:$O$23</definedName>
    <definedName name="OSRRefE21_2_0x" localSheetId="85">'425'!$N$28:$O$28</definedName>
    <definedName name="OSRRefE21_2_0x" localSheetId="88">'430'!$N$40:$O$40</definedName>
    <definedName name="OSRRefE21_2_0x" localSheetId="89">'433'!$N$48:$O$48</definedName>
    <definedName name="OSRRefE21_2_0x" localSheetId="91">'444'!$N$48:$O$48</definedName>
    <definedName name="OSRRefE21_2_0x" localSheetId="92">'450'!$N$44:$O$44</definedName>
    <definedName name="OSRRefE21_2_0x" localSheetId="73">'491'!$N$50:$O$50</definedName>
    <definedName name="OSRRefE21_2_0x" localSheetId="87">'492'!$N$48:$O$48</definedName>
    <definedName name="OSRRefE21_2_0x" localSheetId="94">'501'!$N$43:$O$43</definedName>
    <definedName name="OSRRefE21_2_0x" localSheetId="39">'Div 2'!$N$42:$O$42</definedName>
    <definedName name="OSRRefE21_2_0x" localSheetId="47">'Div 3'!$N$149:$O$149</definedName>
    <definedName name="OSRRefE21_2_0x" localSheetId="71">'Div 4'!$N$53:$O$53</definedName>
    <definedName name="OSRRefE21_2_0x" localSheetId="93">'Div 5'!$N$43:$O$43</definedName>
    <definedName name="OSRRefE21_2_0x" localSheetId="62">'Div 6'!$N$74:$O$74</definedName>
    <definedName name="OSRRefE21_2_0x" localSheetId="2">Summary!$N$179:$O$179</definedName>
    <definedName name="OSRRefE21_20_0x" localSheetId="48">'300'!$N$197:$O$197</definedName>
    <definedName name="OSRRefE21_20_0x" localSheetId="49">'300 &amp; 317'!$N$221:$O$221</definedName>
    <definedName name="OSRRefE21_20_0x" localSheetId="50">'301'!$N$91:$O$91</definedName>
    <definedName name="OSRRefE21_20_0x" localSheetId="72">'310 &amp; 491'!$N$113:$O$113</definedName>
    <definedName name="OSRRefE21_20_0x" localSheetId="57">'331'!$N$156:$O$156</definedName>
    <definedName name="OSRRefE21_20_0x" localSheetId="73">'491'!$N$106:$O$106</definedName>
    <definedName name="OSRRefE21_20_0x" localSheetId="47">'Div 3'!$N$200:$O$200</definedName>
    <definedName name="OSRRefE21_20_0x" localSheetId="71">'Div 4'!$N$110:$O$110</definedName>
    <definedName name="OSRRefE21_20_0x" localSheetId="2">Summary!$N$228:$O$228</definedName>
    <definedName name="OSRRefE21_20_1x" localSheetId="48">'300'!$N$198:$O$198</definedName>
    <definedName name="OSRRefE21_20_1x" localSheetId="49">'300 &amp; 317'!$N$222:$O$222</definedName>
    <definedName name="OSRRefE21_20_1x" localSheetId="57">'331'!$N$157:$O$157</definedName>
    <definedName name="OSRRefE21_20_1x" localSheetId="47">'Div 3'!$N$201:$O$201</definedName>
    <definedName name="OSRRefE21_20_1x" localSheetId="71">'Div 4'!$N$111:$O$111</definedName>
    <definedName name="OSRRefE21_20_1x" localSheetId="2">Summary!$N$229:$O$229</definedName>
    <definedName name="OSRRefE21_20_2x" localSheetId="48">'300'!$N$199:$O$199</definedName>
    <definedName name="OSRRefE21_20_2x" localSheetId="49">'300 &amp; 317'!$N$223:$O$223</definedName>
    <definedName name="OSRRefE21_20_2x" localSheetId="2">Summary!$N$230:$O$230</definedName>
    <definedName name="OSRRefE21_20_3x" localSheetId="48">'300'!$N$200:$O$200</definedName>
    <definedName name="OSRRefE21_20_3x" localSheetId="49">'300 &amp; 317'!$N$224:$O$224</definedName>
    <definedName name="OSRRefE21_20_3x" localSheetId="2">Summary!$N$231:$O$231</definedName>
    <definedName name="OSRRefE21_20_4x" localSheetId="48">'300'!$N$201:$O$201</definedName>
    <definedName name="OSRRefE21_20_4x" localSheetId="49">'300 &amp; 317'!$N$225:$O$225</definedName>
    <definedName name="OSRRefE21_20_4x" localSheetId="2">Summary!$N$232:$O$232</definedName>
    <definedName name="OSRRefE21_20_5x" localSheetId="48">'300'!$N$202:$O$202</definedName>
    <definedName name="OSRRefE21_20_5x" localSheetId="49">'300 &amp; 317'!$N$226:$O$226</definedName>
    <definedName name="OSRRefE21_20_6x" localSheetId="48">'300'!$N$203:$O$203</definedName>
    <definedName name="OSRRefE21_20_6x" localSheetId="49">'300 &amp; 317'!$N$227:$O$227</definedName>
    <definedName name="OSRRefE21_20_7x" localSheetId="48">'300'!$N$204:$O$204</definedName>
    <definedName name="OSRRefE21_20_7x" localSheetId="49">'300 &amp; 317'!$N$228:$O$228</definedName>
    <definedName name="OSRRefE21_20_8x" localSheetId="48">'300'!$N$205:$O$205</definedName>
    <definedName name="OSRRefE21_20_8x" localSheetId="49">'300 &amp; 317'!$N$229:$O$229</definedName>
    <definedName name="OSRRefE21_20x_0" localSheetId="48">'300'!$N$197:$N$205</definedName>
    <definedName name="OSRRefE21_20x_0" localSheetId="49">'300 &amp; 317'!$N$221:$N$229</definedName>
    <definedName name="OSRRefE21_20x_0" localSheetId="50">'301'!$N$91</definedName>
    <definedName name="OSRRefE21_20x_0" localSheetId="72">'310 &amp; 491'!$N$113</definedName>
    <definedName name="OSRRefE21_20x_0" localSheetId="57">'331'!$N$156:$N$157</definedName>
    <definedName name="OSRRefE21_20x_0" localSheetId="73">'491'!$N$106</definedName>
    <definedName name="OSRRefE21_20x_0" localSheetId="47">'Div 3'!$N$200:$N$201</definedName>
    <definedName name="OSRRefE21_20x_0" localSheetId="71">'Div 4'!$N$110:$N$111</definedName>
    <definedName name="OSRRefE21_20x_0" localSheetId="2">Summary!$N$228:$N$232</definedName>
    <definedName name="OSRRefE21_20x_1" localSheetId="48">'300'!$O$197:$O$205</definedName>
    <definedName name="OSRRefE21_20x_1" localSheetId="49">'300 &amp; 317'!$O$221:$O$229</definedName>
    <definedName name="OSRRefE21_20x_1" localSheetId="50">'301'!$O$91</definedName>
    <definedName name="OSRRefE21_20x_1" localSheetId="72">'310 &amp; 491'!$O$113</definedName>
    <definedName name="OSRRefE21_20x_1" localSheetId="57">'331'!$O$156:$O$157</definedName>
    <definedName name="OSRRefE21_20x_1" localSheetId="73">'491'!$O$106</definedName>
    <definedName name="OSRRefE21_20x_1" localSheetId="47">'Div 3'!$O$200:$O$201</definedName>
    <definedName name="OSRRefE21_20x_1" localSheetId="71">'Div 4'!$O$110:$O$111</definedName>
    <definedName name="OSRRefE21_20x_1" localSheetId="2">Summary!$O$228:$O$232</definedName>
    <definedName name="OSRRefE21_21_0x" localSheetId="48">'300'!$N$207:$O$207</definedName>
    <definedName name="OSRRefE21_21_0x" localSheetId="49">'300 &amp; 317'!$N$231:$O$231</definedName>
    <definedName name="OSRRefE21_21_0x" localSheetId="50">'301'!$N$93:$O$93</definedName>
    <definedName name="OSRRefE21_21_0x" localSheetId="72">'310 &amp; 491'!$N$115:$O$115</definedName>
    <definedName name="OSRRefE21_21_0x" localSheetId="57">'331'!$N$159:$O$159</definedName>
    <definedName name="OSRRefE21_21_0x" localSheetId="73">'491'!$N$108:$O$108</definedName>
    <definedName name="OSRRefE21_21_0x" localSheetId="47">'Div 3'!$N$203:$O$203</definedName>
    <definedName name="OSRRefE21_21_0x" localSheetId="71">'Div 4'!$N$113:$O$113</definedName>
    <definedName name="OSRRefE21_21_0x" localSheetId="2">Summary!$N$234:$O$234</definedName>
    <definedName name="OSRRefE21_21_1x" localSheetId="48">'300'!$N$208:$O$208</definedName>
    <definedName name="OSRRefE21_21_1x" localSheetId="49">'300 &amp; 317'!$N$232:$O$232</definedName>
    <definedName name="OSRRefE21_21_1x" localSheetId="50">'301'!$N$94:$O$94</definedName>
    <definedName name="OSRRefE21_21_1x" localSheetId="47">'Div 3'!$N$204:$O$204</definedName>
    <definedName name="OSRRefE21_21_1x" localSheetId="2">Summary!$N$235:$O$235</definedName>
    <definedName name="OSRRefE21_21_2x" localSheetId="47">'Div 3'!$N$205:$O$205</definedName>
    <definedName name="OSRRefE21_21_3x" localSheetId="47">'Div 3'!$N$206:$O$206</definedName>
    <definedName name="OSRRefE21_21_4x" localSheetId="47">'Div 3'!$N$207:$O$207</definedName>
    <definedName name="OSRRefE21_21_5x" localSheetId="47">'Div 3'!$N$208:$O$208</definedName>
    <definedName name="OSRRefE21_21_6x" localSheetId="47">'Div 3'!$N$209:$O$209</definedName>
    <definedName name="OSRRefE21_21_7x" localSheetId="47">'Div 3'!$N$210:$O$210</definedName>
    <definedName name="OSRRefE21_21_8x" localSheetId="47">'Div 3'!$N$211:$O$211</definedName>
    <definedName name="OSRRefE21_21x_0" localSheetId="48">'300'!$N$207:$N$208</definedName>
    <definedName name="OSRRefE21_21x_0" localSheetId="49">'300 &amp; 317'!$N$231:$N$232</definedName>
    <definedName name="OSRRefE21_21x_0" localSheetId="50">'301'!$N$93:$N$94</definedName>
    <definedName name="OSRRefE21_21x_0" localSheetId="72">'310 &amp; 491'!$N$115</definedName>
    <definedName name="OSRRefE21_21x_0" localSheetId="57">'331'!$N$159</definedName>
    <definedName name="OSRRefE21_21x_0" localSheetId="73">'491'!$N$108</definedName>
    <definedName name="OSRRefE21_21x_0" localSheetId="47">'Div 3'!$N$203:$N$211</definedName>
    <definedName name="OSRRefE21_21x_0" localSheetId="71">'Div 4'!$N$113</definedName>
    <definedName name="OSRRefE21_21x_0" localSheetId="2">Summary!$N$234:$N$235</definedName>
    <definedName name="OSRRefE21_21x_1" localSheetId="48">'300'!$O$207:$O$208</definedName>
    <definedName name="OSRRefE21_21x_1" localSheetId="49">'300 &amp; 317'!$O$231:$O$232</definedName>
    <definedName name="OSRRefE21_21x_1" localSheetId="50">'301'!$O$93:$O$94</definedName>
    <definedName name="OSRRefE21_21x_1" localSheetId="72">'310 &amp; 491'!$O$115</definedName>
    <definedName name="OSRRefE21_21x_1" localSheetId="57">'331'!$O$159</definedName>
    <definedName name="OSRRefE21_21x_1" localSheetId="73">'491'!$O$108</definedName>
    <definedName name="OSRRefE21_21x_1" localSheetId="47">'Div 3'!$O$203:$O$211</definedName>
    <definedName name="OSRRefE21_21x_1" localSheetId="71">'Div 4'!$O$113</definedName>
    <definedName name="OSRRefE21_21x_1" localSheetId="2">Summary!$O$234:$O$235</definedName>
    <definedName name="OSRRefE21_22_0x" localSheetId="48">'300'!$N$210:$O$210</definedName>
    <definedName name="OSRRefE21_22_0x" localSheetId="49">'300 &amp; 317'!$N$234:$O$234</definedName>
    <definedName name="OSRRefE21_22_0x" localSheetId="50">'301'!$N$96:$O$96</definedName>
    <definedName name="OSRRefE21_22_0x" localSheetId="72">'310 &amp; 491'!$N$117:$O$117</definedName>
    <definedName name="OSRRefE21_22_0x" localSheetId="73">'491'!$N$110:$O$110</definedName>
    <definedName name="OSRRefE21_22_0x" localSheetId="47">'Div 3'!$N$213:$O$213</definedName>
    <definedName name="OSRRefE21_22_0x" localSheetId="71">'Div 4'!$N$115:$O$115</definedName>
    <definedName name="OSRRefE21_22_0x" localSheetId="2">Summary!$N$237:$O$237</definedName>
    <definedName name="OSRRefE21_22_10x" localSheetId="2">Summary!$N$247:$O$247</definedName>
    <definedName name="OSRRefE21_22_1x" localSheetId="47">'Div 3'!$N$214:$O$214</definedName>
    <definedName name="OSRRefE21_22_1x" localSheetId="71">'Div 4'!$N$116:$O$116</definedName>
    <definedName name="OSRRefE21_22_1x" localSheetId="2">Summary!$N$238:$O$238</definedName>
    <definedName name="OSRRefE21_22_2x" localSheetId="71">'Div 4'!$N$117:$O$117</definedName>
    <definedName name="OSRRefE21_22_2x" localSheetId="2">Summary!$N$239:$O$239</definedName>
    <definedName name="OSRRefE21_22_3x" localSheetId="2">Summary!$N$240:$O$240</definedName>
    <definedName name="OSRRefE21_22_4x" localSheetId="2">Summary!$N$241:$O$241</definedName>
    <definedName name="OSRRefE21_22_5x" localSheetId="2">Summary!$N$242:$O$242</definedName>
    <definedName name="OSRRefE21_22_6x" localSheetId="2">Summary!$N$243:$O$243</definedName>
    <definedName name="OSRRefE21_22_7x" localSheetId="2">Summary!$N$244:$O$244</definedName>
    <definedName name="OSRRefE21_22_8x" localSheetId="2">Summary!$N$245:$O$245</definedName>
    <definedName name="OSRRefE21_22_9x" localSheetId="2">Summary!$N$246:$O$246</definedName>
    <definedName name="OSRRefE21_22x_0" localSheetId="48">'300'!$N$210</definedName>
    <definedName name="OSRRefE21_22x_0" localSheetId="49">'300 &amp; 317'!$N$234</definedName>
    <definedName name="OSRRefE21_22x_0" localSheetId="50">'301'!$N$96</definedName>
    <definedName name="OSRRefE21_22x_0" localSheetId="72">'310 &amp; 491'!$N$117</definedName>
    <definedName name="OSRRefE21_22x_0" localSheetId="73">'491'!$N$110</definedName>
    <definedName name="OSRRefE21_22x_0" localSheetId="47">'Div 3'!$N$213:$N$214</definedName>
    <definedName name="OSRRefE21_22x_0" localSheetId="71">'Div 4'!$N$115:$N$117</definedName>
    <definedName name="OSRRefE21_22x_0" localSheetId="2">Summary!$N$237:$N$247</definedName>
    <definedName name="OSRRefE21_22x_1" localSheetId="48">'300'!$O$210</definedName>
    <definedName name="OSRRefE21_22x_1" localSheetId="49">'300 &amp; 317'!$O$234</definedName>
    <definedName name="OSRRefE21_22x_1" localSheetId="50">'301'!$O$96</definedName>
    <definedName name="OSRRefE21_22x_1" localSheetId="72">'310 &amp; 491'!$O$117</definedName>
    <definedName name="OSRRefE21_22x_1" localSheetId="73">'491'!$O$110</definedName>
    <definedName name="OSRRefE21_22x_1" localSheetId="47">'Div 3'!$O$213:$O$214</definedName>
    <definedName name="OSRRefE21_22x_1" localSheetId="71">'Div 4'!$O$115:$O$117</definedName>
    <definedName name="OSRRefE21_22x_1" localSheetId="2">Summary!$O$237:$O$247</definedName>
    <definedName name="OSRRefE21_23_0x" localSheetId="48">'300'!$N$212:$O$212</definedName>
    <definedName name="OSRRefE21_23_0x" localSheetId="49">'300 &amp; 317'!$N$236:$O$236</definedName>
    <definedName name="OSRRefE21_23_0x" localSheetId="47">'Div 3'!$N$216:$O$216</definedName>
    <definedName name="OSRRefE21_23_0x" localSheetId="71">'Div 4'!$N$119:$O$119</definedName>
    <definedName name="OSRRefE21_23_0x" localSheetId="2">Summary!$N$249:$O$249</definedName>
    <definedName name="OSRRefE21_23_1x" localSheetId="48">'300'!$N$213:$O$213</definedName>
    <definedName name="OSRRefE21_23_1x" localSheetId="49">'300 &amp; 317'!$N$237:$O$237</definedName>
    <definedName name="OSRRefE21_23_1x" localSheetId="2">Summary!$N$250:$O$250</definedName>
    <definedName name="OSRRefE21_23_2x" localSheetId="48">'300'!$N$214:$O$214</definedName>
    <definedName name="OSRRefE21_23_2x" localSheetId="49">'300 &amp; 317'!$N$238:$O$238</definedName>
    <definedName name="OSRRefE21_23x_0" localSheetId="48">'300'!$N$212:$N$214</definedName>
    <definedName name="OSRRefE21_23x_0" localSheetId="49">'300 &amp; 317'!$N$236:$N$238</definedName>
    <definedName name="OSRRefE21_23x_0" localSheetId="47">'Div 3'!$N$216</definedName>
    <definedName name="OSRRefE21_23x_0" localSheetId="71">'Div 4'!$N$119</definedName>
    <definedName name="OSRRefE21_23x_0" localSheetId="2">Summary!$N$249:$N$250</definedName>
    <definedName name="OSRRefE21_23x_1" localSheetId="48">'300'!$O$212:$O$214</definedName>
    <definedName name="OSRRefE21_23x_1" localSheetId="49">'300 &amp; 317'!$O$236:$O$238</definedName>
    <definedName name="OSRRefE21_23x_1" localSheetId="47">'Div 3'!$O$216</definedName>
    <definedName name="OSRRefE21_23x_1" localSheetId="71">'Div 4'!$O$119</definedName>
    <definedName name="OSRRefE21_23x_1" localSheetId="2">Summary!$O$249:$O$250</definedName>
    <definedName name="OSRRefE21_24_0x" localSheetId="48">'300'!$N$216:$O$216</definedName>
    <definedName name="OSRRefE21_24_0x" localSheetId="49">'300 &amp; 317'!$N$240:$O$240</definedName>
    <definedName name="OSRRefE21_24_0x" localSheetId="47">'Div 3'!$N$218:$O$218</definedName>
    <definedName name="OSRRefE21_24_0x" localSheetId="2">Summary!$N$252:$O$252</definedName>
    <definedName name="OSRRefE21_24_1x" localSheetId="47">'Div 3'!$N$219:$O$219</definedName>
    <definedName name="OSRRefE21_24_2x" localSheetId="47">'Div 3'!$N$220:$O$220</definedName>
    <definedName name="OSRRefE21_24x_0" localSheetId="48">'300'!$N$216</definedName>
    <definedName name="OSRRefE21_24x_0" localSheetId="49">'300 &amp; 317'!$N$240</definedName>
    <definedName name="OSRRefE21_24x_0" localSheetId="47">'Div 3'!$N$218:$N$220</definedName>
    <definedName name="OSRRefE21_24x_0" localSheetId="2">Summary!$N$252</definedName>
    <definedName name="OSRRefE21_24x_1" localSheetId="48">'300'!$O$216</definedName>
    <definedName name="OSRRefE21_24x_1" localSheetId="49">'300 &amp; 317'!$O$240</definedName>
    <definedName name="OSRRefE21_24x_1" localSheetId="47">'Div 3'!$O$218:$O$220</definedName>
    <definedName name="OSRRefE21_24x_1" localSheetId="2">Summary!$O$252</definedName>
    <definedName name="OSRRefE21_25_0x" localSheetId="47">'Div 3'!$N$222:$O$222</definedName>
    <definedName name="OSRRefE21_25_0x" localSheetId="2">Summary!$N$254:$O$254</definedName>
    <definedName name="OSRRefE21_25_1x" localSheetId="2">Summary!$N$255:$O$255</definedName>
    <definedName name="OSRRefE21_25_2x" localSheetId="2">Summary!$N$256:$O$256</definedName>
    <definedName name="OSRRefE21_25x_0" localSheetId="47">'Div 3'!$N$222</definedName>
    <definedName name="OSRRefE21_25x_0" localSheetId="2">Summary!$N$254:$N$256</definedName>
    <definedName name="OSRRefE21_25x_1" localSheetId="47">'Div 3'!$O$222</definedName>
    <definedName name="OSRRefE21_25x_1" localSheetId="2">Summary!$O$254:$O$256</definedName>
    <definedName name="OSRRefE21_26_0x" localSheetId="2">Summary!$N$258:$O$258</definedName>
    <definedName name="OSRRefE21_26x_0" localSheetId="2">Summary!$N$258</definedName>
    <definedName name="OSRRefE21_26x_1" localSheetId="2">Summary!$O$258</definedName>
    <definedName name="OSRRefE21_2x_0" localSheetId="40">'200'!$N$23</definedName>
    <definedName name="OSRRefE21_2x_0" localSheetId="41">'201'!$N$40</definedName>
    <definedName name="OSRRefE21_2x_0" localSheetId="42">'202'!$N$40</definedName>
    <definedName name="OSRRefE21_2x_0" localSheetId="43">'203'!$N$41</definedName>
    <definedName name="OSRRefE21_2x_0" localSheetId="44">'204'!$N$41</definedName>
    <definedName name="OSRRefE21_2x_0" localSheetId="45">'205'!$N$40</definedName>
    <definedName name="OSRRefE21_2x_0" localSheetId="46">'206'!$N$40</definedName>
    <definedName name="OSRRefE21_2x_0" localSheetId="48">'300'!$N$145</definedName>
    <definedName name="OSRRefE21_2x_0" localSheetId="49">'300 &amp; 317'!$N$169</definedName>
    <definedName name="OSRRefE21_2x_0" localSheetId="50">'301'!$N$42</definedName>
    <definedName name="OSRRefE21_2x_0" localSheetId="51">'306'!$N$40</definedName>
    <definedName name="OSRRefE21_2x_0" localSheetId="53">'307'!$N$58</definedName>
    <definedName name="OSRRefE21_2x_0" localSheetId="54">'308'!$N$80</definedName>
    <definedName name="OSRRefE21_2x_0" localSheetId="65">'309'!$N$41</definedName>
    <definedName name="OSRRefE21_2x_0" localSheetId="64">'310'!$N$50</definedName>
    <definedName name="OSRRefE21_2x_0" localSheetId="72">'310 &amp; 491'!$N$56</definedName>
    <definedName name="OSRRefE21_2x_0" localSheetId="55">'311'!$N$79</definedName>
    <definedName name="OSRRefE21_2x_0" localSheetId="66">'313'!$N$45</definedName>
    <definedName name="OSRRefE21_2x_0" localSheetId="58">'315'!$N$101</definedName>
    <definedName name="OSRRefE21_2x_0" localSheetId="61">'316'!$N$52</definedName>
    <definedName name="OSRRefE21_2x_0" localSheetId="63">'317'!$N$74</definedName>
    <definedName name="OSRRefE21_2x_0" localSheetId="67">'321'!$N$44</definedName>
    <definedName name="OSRRefE21_2x_0" localSheetId="68">'322'!$N$42</definedName>
    <definedName name="OSRRefE21_2x_0" localSheetId="69">'325'!$N$41</definedName>
    <definedName name="OSRRefE21_2x_0" localSheetId="59">'326'!$N$68</definedName>
    <definedName name="OSRRefE21_2x_0" localSheetId="52">'330'!$N$62</definedName>
    <definedName name="OSRRefE21_2x_0" localSheetId="57">'331'!$N$102</definedName>
    <definedName name="OSRRefE21_2x_0" localSheetId="60">'332'!$N$54</definedName>
    <definedName name="OSRRefE21_2x_0" localSheetId="74">'405'!$N$43</definedName>
    <definedName name="OSRRefE21_2x_0" localSheetId="75">'406'!$N$23</definedName>
    <definedName name="OSRRefE21_2x_0" localSheetId="76">'411'!$N$40</definedName>
    <definedName name="OSRRefE21_2x_0" localSheetId="77">'412'!$N$41</definedName>
    <definedName name="OSRRefE21_2x_0" localSheetId="78">'413'!$N$43</definedName>
    <definedName name="OSRRefE21_2x_0" localSheetId="79">'414'!$N$45</definedName>
    <definedName name="OSRRefE21_2x_0" localSheetId="80">'415'!$N$47</definedName>
    <definedName name="OSRRefE21_2x_0" localSheetId="81">'418'!$N$43</definedName>
    <definedName name="OSRRefE21_2x_0" localSheetId="83">'423'!$N$39</definedName>
    <definedName name="OSRRefE21_2x_0" localSheetId="84">'424'!$N$23</definedName>
    <definedName name="OSRRefE21_2x_0" localSheetId="85">'425'!$N$28</definedName>
    <definedName name="OSRRefE21_2x_0" localSheetId="88">'430'!$N$40</definedName>
    <definedName name="OSRRefE21_2x_0" localSheetId="89">'433'!$N$48</definedName>
    <definedName name="OSRRefE21_2x_0" localSheetId="91">'444'!$N$48</definedName>
    <definedName name="OSRRefE21_2x_0" localSheetId="92">'450'!$N$44</definedName>
    <definedName name="OSRRefE21_2x_0" localSheetId="73">'491'!$N$50</definedName>
    <definedName name="OSRRefE21_2x_0" localSheetId="87">'492'!$N$48</definedName>
    <definedName name="OSRRefE21_2x_0" localSheetId="94">'501'!$N$43</definedName>
    <definedName name="OSRRefE21_2x_0" localSheetId="39">'Div 2'!$N$42</definedName>
    <definedName name="OSRRefE21_2x_0" localSheetId="47">'Div 3'!$N$149</definedName>
    <definedName name="OSRRefE21_2x_0" localSheetId="71">'Div 4'!$N$53</definedName>
    <definedName name="OSRRefE21_2x_0" localSheetId="93">'Div 5'!$N$43</definedName>
    <definedName name="OSRRefE21_2x_0" localSheetId="62">'Div 6'!$N$74</definedName>
    <definedName name="OSRRefE21_2x_0" localSheetId="2">Summary!$N$179</definedName>
    <definedName name="OSRRefE21_2x_1" localSheetId="40">'200'!$O$23</definedName>
    <definedName name="OSRRefE21_2x_1" localSheetId="41">'201'!$O$40</definedName>
    <definedName name="OSRRefE21_2x_1" localSheetId="42">'202'!$O$40</definedName>
    <definedName name="OSRRefE21_2x_1" localSheetId="43">'203'!$O$41</definedName>
    <definedName name="OSRRefE21_2x_1" localSheetId="44">'204'!$O$41</definedName>
    <definedName name="OSRRefE21_2x_1" localSheetId="45">'205'!$O$40</definedName>
    <definedName name="OSRRefE21_2x_1" localSheetId="46">'206'!$O$40</definedName>
    <definedName name="OSRRefE21_2x_1" localSheetId="48">'300'!$O$145</definedName>
    <definedName name="OSRRefE21_2x_1" localSheetId="49">'300 &amp; 317'!$O$169</definedName>
    <definedName name="OSRRefE21_2x_1" localSheetId="50">'301'!$O$42</definedName>
    <definedName name="OSRRefE21_2x_1" localSheetId="51">'306'!$O$40</definedName>
    <definedName name="OSRRefE21_2x_1" localSheetId="53">'307'!$O$58</definedName>
    <definedName name="OSRRefE21_2x_1" localSheetId="54">'308'!$O$80</definedName>
    <definedName name="OSRRefE21_2x_1" localSheetId="65">'309'!$O$41</definedName>
    <definedName name="OSRRefE21_2x_1" localSheetId="64">'310'!$O$50</definedName>
    <definedName name="OSRRefE21_2x_1" localSheetId="72">'310 &amp; 491'!$O$56</definedName>
    <definedName name="OSRRefE21_2x_1" localSheetId="55">'311'!$O$79</definedName>
    <definedName name="OSRRefE21_2x_1" localSheetId="66">'313'!$O$45</definedName>
    <definedName name="OSRRefE21_2x_1" localSheetId="58">'315'!$O$101</definedName>
    <definedName name="OSRRefE21_2x_1" localSheetId="61">'316'!$O$52</definedName>
    <definedName name="OSRRefE21_2x_1" localSheetId="63">'317'!$O$74</definedName>
    <definedName name="OSRRefE21_2x_1" localSheetId="67">'321'!$O$44</definedName>
    <definedName name="OSRRefE21_2x_1" localSheetId="68">'322'!$O$42</definedName>
    <definedName name="OSRRefE21_2x_1" localSheetId="69">'325'!$O$41</definedName>
    <definedName name="OSRRefE21_2x_1" localSheetId="59">'326'!$O$68</definedName>
    <definedName name="OSRRefE21_2x_1" localSheetId="52">'330'!$O$62</definedName>
    <definedName name="OSRRefE21_2x_1" localSheetId="57">'331'!$O$102</definedName>
    <definedName name="OSRRefE21_2x_1" localSheetId="60">'332'!$O$54</definedName>
    <definedName name="OSRRefE21_2x_1" localSheetId="74">'405'!$O$43</definedName>
    <definedName name="OSRRefE21_2x_1" localSheetId="75">'406'!$O$23</definedName>
    <definedName name="OSRRefE21_2x_1" localSheetId="76">'411'!$O$40</definedName>
    <definedName name="OSRRefE21_2x_1" localSheetId="77">'412'!$O$41</definedName>
    <definedName name="OSRRefE21_2x_1" localSheetId="78">'413'!$O$43</definedName>
    <definedName name="OSRRefE21_2x_1" localSheetId="79">'414'!$O$45</definedName>
    <definedName name="OSRRefE21_2x_1" localSheetId="80">'415'!$O$47</definedName>
    <definedName name="OSRRefE21_2x_1" localSheetId="81">'418'!$O$43</definedName>
    <definedName name="OSRRefE21_2x_1" localSheetId="83">'423'!$O$39</definedName>
    <definedName name="OSRRefE21_2x_1" localSheetId="84">'424'!$O$23</definedName>
    <definedName name="OSRRefE21_2x_1" localSheetId="85">'425'!$O$28</definedName>
    <definedName name="OSRRefE21_2x_1" localSheetId="88">'430'!$O$40</definedName>
    <definedName name="OSRRefE21_2x_1" localSheetId="89">'433'!$O$48</definedName>
    <definedName name="OSRRefE21_2x_1" localSheetId="91">'444'!$O$48</definedName>
    <definedName name="OSRRefE21_2x_1" localSheetId="92">'450'!$O$44</definedName>
    <definedName name="OSRRefE21_2x_1" localSheetId="73">'491'!$O$50</definedName>
    <definedName name="OSRRefE21_2x_1" localSheetId="87">'492'!$O$48</definedName>
    <definedName name="OSRRefE21_2x_1" localSheetId="94">'501'!$O$43</definedName>
    <definedName name="OSRRefE21_2x_1" localSheetId="39">'Div 2'!$O$42</definedName>
    <definedName name="OSRRefE21_2x_1" localSheetId="47">'Div 3'!$O$149</definedName>
    <definedName name="OSRRefE21_2x_1" localSheetId="71">'Div 4'!$O$53</definedName>
    <definedName name="OSRRefE21_2x_1" localSheetId="93">'Div 5'!$O$43</definedName>
    <definedName name="OSRRefE21_2x_1" localSheetId="62">'Div 6'!$O$74</definedName>
    <definedName name="OSRRefE21_2x_1" localSheetId="2">Summary!$O$179</definedName>
    <definedName name="OSRRefE21_3_0x" localSheetId="40">'200'!$N$25:$O$25</definedName>
    <definedName name="OSRRefE21_3_0x" localSheetId="41">'201'!$N$42:$O$42</definedName>
    <definedName name="OSRRefE21_3_0x" localSheetId="42">'202'!$N$42:$O$42</definedName>
    <definedName name="OSRRefE21_3_0x" localSheetId="43">'203'!$N$43:$O$43</definedName>
    <definedName name="OSRRefE21_3_0x" localSheetId="44">'204'!$N$43:$O$43</definedName>
    <definedName name="OSRRefE21_3_0x" localSheetId="45">'205'!$N$42:$O$42</definedName>
    <definedName name="OSRRefE21_3_0x" localSheetId="46">'206'!$N$42:$O$42</definedName>
    <definedName name="OSRRefE21_3_0x" localSheetId="48">'300'!$N$147:$O$147</definedName>
    <definedName name="OSRRefE21_3_0x" localSheetId="49">'300 &amp; 317'!$N$171:$O$171</definedName>
    <definedName name="OSRRefE21_3_0x" localSheetId="50">'301'!$N$44:$O$44</definedName>
    <definedName name="OSRRefE21_3_0x" localSheetId="51">'306'!$N$42:$O$42</definedName>
    <definedName name="OSRRefE21_3_0x" localSheetId="53">'307'!$N$60:$O$60</definedName>
    <definedName name="OSRRefE21_3_0x" localSheetId="54">'308'!$N$82:$O$82</definedName>
    <definedName name="OSRRefE21_3_0x" localSheetId="65">'309'!$N$43:$O$43</definedName>
    <definedName name="OSRRefE21_3_0x" localSheetId="64">'310'!$N$52:$O$52</definedName>
    <definedName name="OSRRefE21_3_0x" localSheetId="72">'310 &amp; 491'!$N$58:$O$58</definedName>
    <definedName name="OSRRefE21_3_0x" localSheetId="55">'311'!$N$81:$O$81</definedName>
    <definedName name="OSRRefE21_3_0x" localSheetId="66">'313'!$N$47:$O$47</definedName>
    <definedName name="OSRRefE21_3_0x" localSheetId="58">'315'!$N$103:$O$103</definedName>
    <definedName name="OSRRefE21_3_0x" localSheetId="61">'316'!$N$54:$O$54</definedName>
    <definedName name="OSRRefE21_3_0x" localSheetId="63">'317'!$N$76:$O$76</definedName>
    <definedName name="OSRRefE21_3_0x" localSheetId="67">'321'!$N$46:$O$46</definedName>
    <definedName name="OSRRefE21_3_0x" localSheetId="68">'322'!$N$44:$O$44</definedName>
    <definedName name="OSRRefE21_3_0x" localSheetId="69">'325'!$N$43:$O$43</definedName>
    <definedName name="OSRRefE21_3_0x" localSheetId="59">'326'!$N$70:$O$70</definedName>
    <definedName name="OSRRefE21_3_0x" localSheetId="52">'330'!$N$64:$O$64</definedName>
    <definedName name="OSRRefE21_3_0x" localSheetId="57">'331'!$N$104:$O$104</definedName>
    <definedName name="OSRRefE21_3_0x" localSheetId="60">'332'!$N$56:$O$56</definedName>
    <definedName name="OSRRefE21_3_0x" localSheetId="74">'405'!$N$45:$O$45</definedName>
    <definedName name="OSRRefE21_3_0x" localSheetId="75">'406'!$N$25:$O$25</definedName>
    <definedName name="OSRRefE21_3_0x" localSheetId="76">'411'!$N$42:$O$42</definedName>
    <definedName name="OSRRefE21_3_0x" localSheetId="77">'412'!$N$43:$O$43</definedName>
    <definedName name="OSRRefE21_3_0x" localSheetId="78">'413'!$N$45:$O$45</definedName>
    <definedName name="OSRRefE21_3_0x" localSheetId="79">'414'!$N$47:$O$47</definedName>
    <definedName name="OSRRefE21_3_0x" localSheetId="80">'415'!$N$49:$O$49</definedName>
    <definedName name="OSRRefE21_3_0x" localSheetId="81">'418'!$N$45:$O$45</definedName>
    <definedName name="OSRRefE21_3_0x" localSheetId="83">'423'!$N$41:$O$41</definedName>
    <definedName name="OSRRefE21_3_0x" localSheetId="84">'424'!$N$25:$O$25</definedName>
    <definedName name="OSRRefE21_3_0x" localSheetId="85">'425'!$N$30:$O$30</definedName>
    <definedName name="OSRRefE21_3_0x" localSheetId="88">'430'!$N$42:$O$42</definedName>
    <definedName name="OSRRefE21_3_0x" localSheetId="89">'433'!$N$50:$O$50</definedName>
    <definedName name="OSRRefE21_3_0x" localSheetId="91">'444'!$N$50:$O$50</definedName>
    <definedName name="OSRRefE21_3_0x" localSheetId="92">'450'!$N$46:$O$46</definedName>
    <definedName name="OSRRefE21_3_0x" localSheetId="73">'491'!$N$52:$O$52</definedName>
    <definedName name="OSRRefE21_3_0x" localSheetId="87">'492'!$N$50:$O$50</definedName>
    <definedName name="OSRRefE21_3_0x" localSheetId="94">'501'!$N$45:$O$45</definedName>
    <definedName name="OSRRefE21_3_0x" localSheetId="39">'Div 2'!$N$44:$O$44</definedName>
    <definedName name="OSRRefE21_3_0x" localSheetId="47">'Div 3'!$N$151:$O$151</definedName>
    <definedName name="OSRRefE21_3_0x" localSheetId="71">'Div 4'!$N$55:$O$55</definedName>
    <definedName name="OSRRefE21_3_0x" localSheetId="93">'Div 5'!$N$45:$O$45</definedName>
    <definedName name="OSRRefE21_3_0x" localSheetId="62">'Div 6'!$N$76:$O$76</definedName>
    <definedName name="OSRRefE21_3_0x" localSheetId="2">Summary!$N$181:$O$181</definedName>
    <definedName name="OSRRefE21_3_1x" localSheetId="40">'200'!$N$26:$O$26</definedName>
    <definedName name="OSRRefE21_3_1x" localSheetId="48">'300'!$N$148:$O$148</definedName>
    <definedName name="OSRRefE21_3_1x" localSheetId="49">'300 &amp; 317'!$N$172:$O$172</definedName>
    <definedName name="OSRRefE21_3_1x" localSheetId="50">'301'!$N$45:$O$45</definedName>
    <definedName name="OSRRefE21_3_1x" localSheetId="54">'308'!$N$83:$O$83</definedName>
    <definedName name="OSRRefE21_3_1x" localSheetId="55">'311'!$N$82:$O$82</definedName>
    <definedName name="OSRRefE21_3_1x" localSheetId="83">'423'!$N$42:$O$42</definedName>
    <definedName name="OSRRefE21_3_1x" localSheetId="47">'Div 3'!$N$152:$O$152</definedName>
    <definedName name="OSRRefE21_3_1x" localSheetId="2">Summary!$N$182:$O$182</definedName>
    <definedName name="OSRRefE21_3x_0" localSheetId="40">'200'!$N$25:$N$26</definedName>
    <definedName name="OSRRefE21_3x_0" localSheetId="41">'201'!$N$42</definedName>
    <definedName name="OSRRefE21_3x_0" localSheetId="42">'202'!$N$42</definedName>
    <definedName name="OSRRefE21_3x_0" localSheetId="43">'203'!$N$43</definedName>
    <definedName name="OSRRefE21_3x_0" localSheetId="44">'204'!$N$43</definedName>
    <definedName name="OSRRefE21_3x_0" localSheetId="45">'205'!$N$42</definedName>
    <definedName name="OSRRefE21_3x_0" localSheetId="46">'206'!$N$42</definedName>
    <definedName name="OSRRefE21_3x_0" localSheetId="48">'300'!$N$147:$N$148</definedName>
    <definedName name="OSRRefE21_3x_0" localSheetId="49">'300 &amp; 317'!$N$171:$N$172</definedName>
    <definedName name="OSRRefE21_3x_0" localSheetId="50">'301'!$N$44:$N$45</definedName>
    <definedName name="OSRRefE21_3x_0" localSheetId="51">'306'!$N$42</definedName>
    <definedName name="OSRRefE21_3x_0" localSheetId="53">'307'!$N$60</definedName>
    <definedName name="OSRRefE21_3x_0" localSheetId="54">'308'!$N$82:$N$83</definedName>
    <definedName name="OSRRefE21_3x_0" localSheetId="65">'309'!$N$43</definedName>
    <definedName name="OSRRefE21_3x_0" localSheetId="64">'310'!$N$52</definedName>
    <definedName name="OSRRefE21_3x_0" localSheetId="72">'310 &amp; 491'!$N$58</definedName>
    <definedName name="OSRRefE21_3x_0" localSheetId="55">'311'!$N$81:$N$82</definedName>
    <definedName name="OSRRefE21_3x_0" localSheetId="66">'313'!$N$47</definedName>
    <definedName name="OSRRefE21_3x_0" localSheetId="58">'315'!$N$103</definedName>
    <definedName name="OSRRefE21_3x_0" localSheetId="61">'316'!$N$54</definedName>
    <definedName name="OSRRefE21_3x_0" localSheetId="63">'317'!$N$76</definedName>
    <definedName name="OSRRefE21_3x_0" localSheetId="67">'321'!$N$46</definedName>
    <definedName name="OSRRefE21_3x_0" localSheetId="68">'322'!$N$44</definedName>
    <definedName name="OSRRefE21_3x_0" localSheetId="69">'325'!$N$43</definedName>
    <definedName name="OSRRefE21_3x_0" localSheetId="59">'326'!$N$70</definedName>
    <definedName name="OSRRefE21_3x_0" localSheetId="52">'330'!$N$64</definedName>
    <definedName name="OSRRefE21_3x_0" localSheetId="57">'331'!$N$104</definedName>
    <definedName name="OSRRefE21_3x_0" localSheetId="60">'332'!$N$56</definedName>
    <definedName name="OSRRefE21_3x_0" localSheetId="74">'405'!$N$45</definedName>
    <definedName name="OSRRefE21_3x_0" localSheetId="75">'406'!$N$25</definedName>
    <definedName name="OSRRefE21_3x_0" localSheetId="76">'411'!$N$42</definedName>
    <definedName name="OSRRefE21_3x_0" localSheetId="77">'412'!$N$43</definedName>
    <definedName name="OSRRefE21_3x_0" localSheetId="78">'413'!$N$45</definedName>
    <definedName name="OSRRefE21_3x_0" localSheetId="79">'414'!$N$47</definedName>
    <definedName name="OSRRefE21_3x_0" localSheetId="80">'415'!$N$49</definedName>
    <definedName name="OSRRefE21_3x_0" localSheetId="81">'418'!$N$45</definedName>
    <definedName name="OSRRefE21_3x_0" localSheetId="83">'423'!$N$41:$N$42</definedName>
    <definedName name="OSRRefE21_3x_0" localSheetId="84">'424'!$N$25</definedName>
    <definedName name="OSRRefE21_3x_0" localSheetId="85">'425'!$N$30</definedName>
    <definedName name="OSRRefE21_3x_0" localSheetId="88">'430'!$N$42</definedName>
    <definedName name="OSRRefE21_3x_0" localSheetId="89">'433'!$N$50</definedName>
    <definedName name="OSRRefE21_3x_0" localSheetId="91">'444'!$N$50</definedName>
    <definedName name="OSRRefE21_3x_0" localSheetId="92">'450'!$N$46</definedName>
    <definedName name="OSRRefE21_3x_0" localSheetId="73">'491'!$N$52</definedName>
    <definedName name="OSRRefE21_3x_0" localSheetId="87">'492'!$N$50</definedName>
    <definedName name="OSRRefE21_3x_0" localSheetId="94">'501'!$N$45</definedName>
    <definedName name="OSRRefE21_3x_0" localSheetId="39">'Div 2'!$N$44</definedName>
    <definedName name="OSRRefE21_3x_0" localSheetId="47">'Div 3'!$N$151:$N$152</definedName>
    <definedName name="OSRRefE21_3x_0" localSheetId="71">'Div 4'!$N$55</definedName>
    <definedName name="OSRRefE21_3x_0" localSheetId="93">'Div 5'!$N$45</definedName>
    <definedName name="OSRRefE21_3x_0" localSheetId="62">'Div 6'!$N$76</definedName>
    <definedName name="OSRRefE21_3x_0" localSheetId="2">Summary!$N$181:$N$182</definedName>
    <definedName name="OSRRefE21_3x_1" localSheetId="40">'200'!$O$25:$O$26</definedName>
    <definedName name="OSRRefE21_3x_1" localSheetId="41">'201'!$O$42</definedName>
    <definedName name="OSRRefE21_3x_1" localSheetId="42">'202'!$O$42</definedName>
    <definedName name="OSRRefE21_3x_1" localSheetId="43">'203'!$O$43</definedName>
    <definedName name="OSRRefE21_3x_1" localSheetId="44">'204'!$O$43</definedName>
    <definedName name="OSRRefE21_3x_1" localSheetId="45">'205'!$O$42</definedName>
    <definedName name="OSRRefE21_3x_1" localSheetId="46">'206'!$O$42</definedName>
    <definedName name="OSRRefE21_3x_1" localSheetId="48">'300'!$O$147:$O$148</definedName>
    <definedName name="OSRRefE21_3x_1" localSheetId="49">'300 &amp; 317'!$O$171:$O$172</definedName>
    <definedName name="OSRRefE21_3x_1" localSheetId="50">'301'!$O$44:$O$45</definedName>
    <definedName name="OSRRefE21_3x_1" localSheetId="51">'306'!$O$42</definedName>
    <definedName name="OSRRefE21_3x_1" localSheetId="53">'307'!$O$60</definedName>
    <definedName name="OSRRefE21_3x_1" localSheetId="54">'308'!$O$82:$O$83</definedName>
    <definedName name="OSRRefE21_3x_1" localSheetId="65">'309'!$O$43</definedName>
    <definedName name="OSRRefE21_3x_1" localSheetId="64">'310'!$O$52</definedName>
    <definedName name="OSRRefE21_3x_1" localSheetId="72">'310 &amp; 491'!$O$58</definedName>
    <definedName name="OSRRefE21_3x_1" localSheetId="55">'311'!$O$81:$O$82</definedName>
    <definedName name="OSRRefE21_3x_1" localSheetId="66">'313'!$O$47</definedName>
    <definedName name="OSRRefE21_3x_1" localSheetId="58">'315'!$O$103</definedName>
    <definedName name="OSRRefE21_3x_1" localSheetId="61">'316'!$O$54</definedName>
    <definedName name="OSRRefE21_3x_1" localSheetId="63">'317'!$O$76</definedName>
    <definedName name="OSRRefE21_3x_1" localSheetId="67">'321'!$O$46</definedName>
    <definedName name="OSRRefE21_3x_1" localSheetId="68">'322'!$O$44</definedName>
    <definedName name="OSRRefE21_3x_1" localSheetId="69">'325'!$O$43</definedName>
    <definedName name="OSRRefE21_3x_1" localSheetId="59">'326'!$O$70</definedName>
    <definedName name="OSRRefE21_3x_1" localSheetId="52">'330'!$O$64</definedName>
    <definedName name="OSRRefE21_3x_1" localSheetId="57">'331'!$O$104</definedName>
    <definedName name="OSRRefE21_3x_1" localSheetId="60">'332'!$O$56</definedName>
    <definedName name="OSRRefE21_3x_1" localSheetId="74">'405'!$O$45</definedName>
    <definedName name="OSRRefE21_3x_1" localSheetId="75">'406'!$O$25</definedName>
    <definedName name="OSRRefE21_3x_1" localSheetId="76">'411'!$O$42</definedName>
    <definedName name="OSRRefE21_3x_1" localSheetId="77">'412'!$O$43</definedName>
    <definedName name="OSRRefE21_3x_1" localSheetId="78">'413'!$O$45</definedName>
    <definedName name="OSRRefE21_3x_1" localSheetId="79">'414'!$O$47</definedName>
    <definedName name="OSRRefE21_3x_1" localSheetId="80">'415'!$O$49</definedName>
    <definedName name="OSRRefE21_3x_1" localSheetId="81">'418'!$O$45</definedName>
    <definedName name="OSRRefE21_3x_1" localSheetId="83">'423'!$O$41:$O$42</definedName>
    <definedName name="OSRRefE21_3x_1" localSheetId="84">'424'!$O$25</definedName>
    <definedName name="OSRRefE21_3x_1" localSheetId="85">'425'!$O$30</definedName>
    <definedName name="OSRRefE21_3x_1" localSheetId="88">'430'!$O$42</definedName>
    <definedName name="OSRRefE21_3x_1" localSheetId="89">'433'!$O$50</definedName>
    <definedName name="OSRRefE21_3x_1" localSheetId="91">'444'!$O$50</definedName>
    <definedName name="OSRRefE21_3x_1" localSheetId="92">'450'!$O$46</definedName>
    <definedName name="OSRRefE21_3x_1" localSheetId="73">'491'!$O$52</definedName>
    <definedName name="OSRRefE21_3x_1" localSheetId="87">'492'!$O$50</definedName>
    <definedName name="OSRRefE21_3x_1" localSheetId="94">'501'!$O$45</definedName>
    <definedName name="OSRRefE21_3x_1" localSheetId="39">'Div 2'!$O$44</definedName>
    <definedName name="OSRRefE21_3x_1" localSheetId="47">'Div 3'!$O$151:$O$152</definedName>
    <definedName name="OSRRefE21_3x_1" localSheetId="71">'Div 4'!$O$55</definedName>
    <definedName name="OSRRefE21_3x_1" localSheetId="93">'Div 5'!$O$45</definedName>
    <definedName name="OSRRefE21_3x_1" localSheetId="62">'Div 6'!$O$76</definedName>
    <definedName name="OSRRefE21_3x_1" localSheetId="2">Summary!$O$181:$O$182</definedName>
    <definedName name="OSRRefE21_4_0x" localSheetId="41">'201'!$N$44:$O$44</definedName>
    <definedName name="OSRRefE21_4_0x" localSheetId="42">'202'!$N$44:$O$44</definedName>
    <definedName name="OSRRefE21_4_0x" localSheetId="43">'203'!$N$45:$O$45</definedName>
    <definedName name="OSRRefE21_4_0x" localSheetId="44">'204'!$N$45:$O$45</definedName>
    <definedName name="OSRRefE21_4_0x" localSheetId="45">'205'!$N$44:$O$44</definedName>
    <definedName name="OSRRefE21_4_0x" localSheetId="46">'206'!$N$44:$O$44</definedName>
    <definedName name="OSRRefE21_4_0x" localSheetId="48">'300'!$N$150:$O$150</definedName>
    <definedName name="OSRRefE21_4_0x" localSheetId="49">'300 &amp; 317'!$N$174:$O$174</definedName>
    <definedName name="OSRRefE21_4_0x" localSheetId="50">'301'!$N$47:$O$47</definedName>
    <definedName name="OSRRefE21_4_0x" localSheetId="51">'306'!$N$44:$O$44</definedName>
    <definedName name="OSRRefE21_4_0x" localSheetId="53">'307'!$N$62:$O$62</definedName>
    <definedName name="OSRRefE21_4_0x" localSheetId="54">'308'!$N$85:$O$85</definedName>
    <definedName name="OSRRefE21_4_0x" localSheetId="65">'309'!$N$45:$O$45</definedName>
    <definedName name="OSRRefE21_4_0x" localSheetId="64">'310'!$N$54:$O$54</definedName>
    <definedName name="OSRRefE21_4_0x" localSheetId="72">'310 &amp; 491'!$N$60:$O$60</definedName>
    <definedName name="OSRRefE21_4_0x" localSheetId="55">'311'!$N$84:$O$84</definedName>
    <definedName name="OSRRefE21_4_0x" localSheetId="66">'313'!$N$49:$O$49</definedName>
    <definedName name="OSRRefE21_4_0x" localSheetId="58">'315'!$N$105:$O$105</definedName>
    <definedName name="OSRRefE21_4_0x" localSheetId="61">'316'!$N$56:$O$56</definedName>
    <definedName name="OSRRefE21_4_0x" localSheetId="63">'317'!$N$78:$O$78</definedName>
    <definedName name="OSRRefE21_4_0x" localSheetId="67">'321'!$N$48:$O$48</definedName>
    <definedName name="OSRRefE21_4_0x" localSheetId="68">'322'!$N$46:$O$46</definedName>
    <definedName name="OSRRefE21_4_0x" localSheetId="69">'325'!$N$45:$O$45</definedName>
    <definedName name="OSRRefE21_4_0x" localSheetId="59">'326'!$N$72:$O$72</definedName>
    <definedName name="OSRRefE21_4_0x" localSheetId="52">'330'!$N$66:$O$66</definedName>
    <definedName name="OSRRefE21_4_0x" localSheetId="57">'331'!$N$106:$O$106</definedName>
    <definedName name="OSRRefE21_4_0x" localSheetId="60">'332'!$N$58:$O$58</definedName>
    <definedName name="OSRRefE21_4_0x" localSheetId="74">'405'!$N$47:$O$47</definedName>
    <definedName name="OSRRefE21_4_0x" localSheetId="75">'406'!$N$27:$O$27</definedName>
    <definedName name="OSRRefE21_4_0x" localSheetId="76">'411'!$N$44:$O$44</definedName>
    <definedName name="OSRRefE21_4_0x" localSheetId="77">'412'!$N$45:$O$45</definedName>
    <definedName name="OSRRefE21_4_0x" localSheetId="78">'413'!$N$47:$O$47</definedName>
    <definedName name="OSRRefE21_4_0x" localSheetId="79">'414'!$N$49:$O$49</definedName>
    <definedName name="OSRRefE21_4_0x" localSheetId="80">'415'!$N$51:$O$51</definedName>
    <definedName name="OSRRefE21_4_0x" localSheetId="81">'418'!$N$47:$O$47</definedName>
    <definedName name="OSRRefE21_4_0x" localSheetId="83">'423'!$N$44:$O$44</definedName>
    <definedName name="OSRRefE21_4_0x" localSheetId="85">'425'!$N$32:$O$32</definedName>
    <definedName name="OSRRefE21_4_0x" localSheetId="88">'430'!$N$44:$O$44</definedName>
    <definedName name="OSRRefE21_4_0x" localSheetId="89">'433'!$N$52:$O$52</definedName>
    <definedName name="OSRRefE21_4_0x" localSheetId="91">'444'!$N$52:$O$52</definedName>
    <definedName name="OSRRefE21_4_0x" localSheetId="92">'450'!$N$48:$O$48</definedName>
    <definedName name="OSRRefE21_4_0x" localSheetId="73">'491'!$N$54:$O$54</definedName>
    <definedName name="OSRRefE21_4_0x" localSheetId="87">'492'!$N$52:$O$52</definedName>
    <definedName name="OSRRefE21_4_0x" localSheetId="94">'501'!$N$47:$O$47</definedName>
    <definedName name="OSRRefE21_4_0x" localSheetId="39">'Div 2'!$N$46:$O$46</definedName>
    <definedName name="OSRRefE21_4_0x" localSheetId="47">'Div 3'!$N$154:$O$154</definedName>
    <definedName name="OSRRefE21_4_0x" localSheetId="71">'Div 4'!$N$57:$O$57</definedName>
    <definedName name="OSRRefE21_4_0x" localSheetId="93">'Div 5'!$N$47:$O$47</definedName>
    <definedName name="OSRRefE21_4_0x" localSheetId="62">'Div 6'!$N$78:$O$78</definedName>
    <definedName name="OSRRefE21_4_0x" localSheetId="2">Summary!$N$184:$O$184</definedName>
    <definedName name="OSRRefE21_4_1x" localSheetId="42">'202'!$N$45:$O$45</definedName>
    <definedName name="OSRRefE21_4_1x" localSheetId="45">'205'!$N$45:$O$45</definedName>
    <definedName name="OSRRefE21_4_1x" localSheetId="74">'405'!$N$48:$O$48</definedName>
    <definedName name="OSRRefE21_4_1x" localSheetId="76">'411'!$N$45:$O$45</definedName>
    <definedName name="OSRRefE21_4_1x" localSheetId="77">'412'!$N$46:$O$46</definedName>
    <definedName name="OSRRefE21_4_1x" localSheetId="81">'418'!$N$48:$O$48</definedName>
    <definedName name="OSRRefE21_4_1x" localSheetId="85">'425'!$N$33:$O$33</definedName>
    <definedName name="OSRRefE21_4_1x" localSheetId="88">'430'!$N$45:$O$45</definedName>
    <definedName name="OSRRefE21_4_2x" localSheetId="88">'430'!$N$46:$O$46</definedName>
    <definedName name="OSRRefE21_4x_0" localSheetId="41">'201'!$N$44</definedName>
    <definedName name="OSRRefE21_4x_0" localSheetId="42">'202'!$N$44:$N$45</definedName>
    <definedName name="OSRRefE21_4x_0" localSheetId="43">'203'!$N$45</definedName>
    <definedName name="OSRRefE21_4x_0" localSheetId="44">'204'!$N$45</definedName>
    <definedName name="OSRRefE21_4x_0" localSheetId="45">'205'!$N$44:$N$45</definedName>
    <definedName name="OSRRefE21_4x_0" localSheetId="46">'206'!$N$44</definedName>
    <definedName name="OSRRefE21_4x_0" localSheetId="48">'300'!$N$150</definedName>
    <definedName name="OSRRefE21_4x_0" localSheetId="49">'300 &amp; 317'!$N$174</definedName>
    <definedName name="OSRRefE21_4x_0" localSheetId="50">'301'!$N$47</definedName>
    <definedName name="OSRRefE21_4x_0" localSheetId="51">'306'!$N$44</definedName>
    <definedName name="OSRRefE21_4x_0" localSheetId="53">'307'!$N$62</definedName>
    <definedName name="OSRRefE21_4x_0" localSheetId="54">'308'!$N$85</definedName>
    <definedName name="OSRRefE21_4x_0" localSheetId="65">'309'!$N$45</definedName>
    <definedName name="OSRRefE21_4x_0" localSheetId="64">'310'!$N$54</definedName>
    <definedName name="OSRRefE21_4x_0" localSheetId="72">'310 &amp; 491'!$N$60</definedName>
    <definedName name="OSRRefE21_4x_0" localSheetId="55">'311'!$N$84</definedName>
    <definedName name="OSRRefE21_4x_0" localSheetId="66">'313'!$N$49</definedName>
    <definedName name="OSRRefE21_4x_0" localSheetId="58">'315'!$N$105</definedName>
    <definedName name="OSRRefE21_4x_0" localSheetId="61">'316'!$N$56</definedName>
    <definedName name="OSRRefE21_4x_0" localSheetId="63">'317'!$N$78</definedName>
    <definedName name="OSRRefE21_4x_0" localSheetId="67">'321'!$N$48</definedName>
    <definedName name="OSRRefE21_4x_0" localSheetId="68">'322'!$N$46</definedName>
    <definedName name="OSRRefE21_4x_0" localSheetId="69">'325'!$N$45</definedName>
    <definedName name="OSRRefE21_4x_0" localSheetId="59">'326'!$N$72</definedName>
    <definedName name="OSRRefE21_4x_0" localSheetId="52">'330'!$N$66</definedName>
    <definedName name="OSRRefE21_4x_0" localSheetId="57">'331'!$N$106</definedName>
    <definedName name="OSRRefE21_4x_0" localSheetId="60">'332'!$N$58</definedName>
    <definedName name="OSRRefE21_4x_0" localSheetId="74">'405'!$N$47:$N$48</definedName>
    <definedName name="OSRRefE21_4x_0" localSheetId="75">'406'!$N$27</definedName>
    <definedName name="OSRRefE21_4x_0" localSheetId="76">'411'!$N$44:$N$45</definedName>
    <definedName name="OSRRefE21_4x_0" localSheetId="77">'412'!$N$45:$N$46</definedName>
    <definedName name="OSRRefE21_4x_0" localSheetId="78">'413'!$N$47</definedName>
    <definedName name="OSRRefE21_4x_0" localSheetId="79">'414'!$N$49</definedName>
    <definedName name="OSRRefE21_4x_0" localSheetId="80">'415'!$N$51</definedName>
    <definedName name="OSRRefE21_4x_0" localSheetId="81">'418'!$N$47:$N$48</definedName>
    <definedName name="OSRRefE21_4x_0" localSheetId="83">'423'!$N$44</definedName>
    <definedName name="OSRRefE21_4x_0" localSheetId="85">'425'!$N$32:$N$33</definedName>
    <definedName name="OSRRefE21_4x_0" localSheetId="88">'430'!$N$44:$N$46</definedName>
    <definedName name="OSRRefE21_4x_0" localSheetId="89">'433'!$N$52</definedName>
    <definedName name="OSRRefE21_4x_0" localSheetId="91">'444'!$N$52</definedName>
    <definedName name="OSRRefE21_4x_0" localSheetId="92">'450'!$N$48</definedName>
    <definedName name="OSRRefE21_4x_0" localSheetId="73">'491'!$N$54</definedName>
    <definedName name="OSRRefE21_4x_0" localSheetId="87">'492'!$N$52</definedName>
    <definedName name="OSRRefE21_4x_0" localSheetId="94">'501'!$N$47</definedName>
    <definedName name="OSRRefE21_4x_0" localSheetId="39">'Div 2'!$N$46</definedName>
    <definedName name="OSRRefE21_4x_0" localSheetId="47">'Div 3'!$N$154</definedName>
    <definedName name="OSRRefE21_4x_0" localSheetId="71">'Div 4'!$N$57</definedName>
    <definedName name="OSRRefE21_4x_0" localSheetId="93">'Div 5'!$N$47</definedName>
    <definedName name="OSRRefE21_4x_0" localSheetId="62">'Div 6'!$N$78</definedName>
    <definedName name="OSRRefE21_4x_0" localSheetId="2">Summary!$N$184</definedName>
    <definedName name="OSRRefE21_4x_1" localSheetId="41">'201'!$O$44</definedName>
    <definedName name="OSRRefE21_4x_1" localSheetId="42">'202'!$O$44:$O$45</definedName>
    <definedName name="OSRRefE21_4x_1" localSheetId="43">'203'!$O$45</definedName>
    <definedName name="OSRRefE21_4x_1" localSheetId="44">'204'!$O$45</definedName>
    <definedName name="OSRRefE21_4x_1" localSheetId="45">'205'!$O$44:$O$45</definedName>
    <definedName name="OSRRefE21_4x_1" localSheetId="46">'206'!$O$44</definedName>
    <definedName name="OSRRefE21_4x_1" localSheetId="48">'300'!$O$150</definedName>
    <definedName name="OSRRefE21_4x_1" localSheetId="49">'300 &amp; 317'!$O$174</definedName>
    <definedName name="OSRRefE21_4x_1" localSheetId="50">'301'!$O$47</definedName>
    <definedName name="OSRRefE21_4x_1" localSheetId="51">'306'!$O$44</definedName>
    <definedName name="OSRRefE21_4x_1" localSheetId="53">'307'!$O$62</definedName>
    <definedName name="OSRRefE21_4x_1" localSheetId="54">'308'!$O$85</definedName>
    <definedName name="OSRRefE21_4x_1" localSheetId="65">'309'!$O$45</definedName>
    <definedName name="OSRRefE21_4x_1" localSheetId="64">'310'!$O$54</definedName>
    <definedName name="OSRRefE21_4x_1" localSheetId="72">'310 &amp; 491'!$O$60</definedName>
    <definedName name="OSRRefE21_4x_1" localSheetId="55">'311'!$O$84</definedName>
    <definedName name="OSRRefE21_4x_1" localSheetId="66">'313'!$O$49</definedName>
    <definedName name="OSRRefE21_4x_1" localSheetId="58">'315'!$O$105</definedName>
    <definedName name="OSRRefE21_4x_1" localSheetId="61">'316'!$O$56</definedName>
    <definedName name="OSRRefE21_4x_1" localSheetId="63">'317'!$O$78</definedName>
    <definedName name="OSRRefE21_4x_1" localSheetId="67">'321'!$O$48</definedName>
    <definedName name="OSRRefE21_4x_1" localSheetId="68">'322'!$O$46</definedName>
    <definedName name="OSRRefE21_4x_1" localSheetId="69">'325'!$O$45</definedName>
    <definedName name="OSRRefE21_4x_1" localSheetId="59">'326'!$O$72</definedName>
    <definedName name="OSRRefE21_4x_1" localSheetId="52">'330'!$O$66</definedName>
    <definedName name="OSRRefE21_4x_1" localSheetId="57">'331'!$O$106</definedName>
    <definedName name="OSRRefE21_4x_1" localSheetId="60">'332'!$O$58</definedName>
    <definedName name="OSRRefE21_4x_1" localSheetId="74">'405'!$O$47:$O$48</definedName>
    <definedName name="OSRRefE21_4x_1" localSheetId="75">'406'!$O$27</definedName>
    <definedName name="OSRRefE21_4x_1" localSheetId="76">'411'!$O$44:$O$45</definedName>
    <definedName name="OSRRefE21_4x_1" localSheetId="77">'412'!$O$45:$O$46</definedName>
    <definedName name="OSRRefE21_4x_1" localSheetId="78">'413'!$O$47</definedName>
    <definedName name="OSRRefE21_4x_1" localSheetId="79">'414'!$O$49</definedName>
    <definedName name="OSRRefE21_4x_1" localSheetId="80">'415'!$O$51</definedName>
    <definedName name="OSRRefE21_4x_1" localSheetId="81">'418'!$O$47:$O$48</definedName>
    <definedName name="OSRRefE21_4x_1" localSheetId="83">'423'!$O$44</definedName>
    <definedName name="OSRRefE21_4x_1" localSheetId="85">'425'!$O$32:$O$33</definedName>
    <definedName name="OSRRefE21_4x_1" localSheetId="88">'430'!$O$44:$O$46</definedName>
    <definedName name="OSRRefE21_4x_1" localSheetId="89">'433'!$O$52</definedName>
    <definedName name="OSRRefE21_4x_1" localSheetId="91">'444'!$O$52</definedName>
    <definedName name="OSRRefE21_4x_1" localSheetId="92">'450'!$O$48</definedName>
    <definedName name="OSRRefE21_4x_1" localSheetId="73">'491'!$O$54</definedName>
    <definedName name="OSRRefE21_4x_1" localSheetId="87">'492'!$O$52</definedName>
    <definedName name="OSRRefE21_4x_1" localSheetId="94">'501'!$O$47</definedName>
    <definedName name="OSRRefE21_4x_1" localSheetId="39">'Div 2'!$O$46</definedName>
    <definedName name="OSRRefE21_4x_1" localSheetId="47">'Div 3'!$O$154</definedName>
    <definedName name="OSRRefE21_4x_1" localSheetId="71">'Div 4'!$O$57</definedName>
    <definedName name="OSRRefE21_4x_1" localSheetId="93">'Div 5'!$O$47</definedName>
    <definedName name="OSRRefE21_4x_1" localSheetId="62">'Div 6'!$O$78</definedName>
    <definedName name="OSRRefE21_4x_1" localSheetId="2">Summary!$O$184</definedName>
    <definedName name="OSRRefE21_5_0x" localSheetId="41">'201'!$N$46:$O$46</definedName>
    <definedName name="OSRRefE21_5_0x" localSheetId="42">'202'!$N$47:$O$47</definedName>
    <definedName name="OSRRefE21_5_0x" localSheetId="43">'203'!$N$47:$O$47</definedName>
    <definedName name="OSRRefE21_5_0x" localSheetId="44">'204'!$N$47:$O$47</definedName>
    <definedName name="OSRRefE21_5_0x" localSheetId="45">'205'!$N$47:$O$47</definedName>
    <definedName name="OSRRefE21_5_0x" localSheetId="46">'206'!$N$46:$O$46</definedName>
    <definedName name="OSRRefE21_5_0x" localSheetId="48">'300'!$N$152:$O$152</definedName>
    <definedName name="OSRRefE21_5_0x" localSheetId="49">'300 &amp; 317'!$N$176:$O$176</definedName>
    <definedName name="OSRRefE21_5_0x" localSheetId="50">'301'!$N$49:$O$49</definedName>
    <definedName name="OSRRefE21_5_0x" localSheetId="51">'306'!$N$46:$O$46</definedName>
    <definedName name="OSRRefE21_5_0x" localSheetId="53">'307'!$N$64:$O$64</definedName>
    <definedName name="OSRRefE21_5_0x" localSheetId="54">'308'!$N$87:$O$87</definedName>
    <definedName name="OSRRefE21_5_0x" localSheetId="65">'309'!$N$47:$O$47</definedName>
    <definedName name="OSRRefE21_5_0x" localSheetId="64">'310'!$N$56:$O$56</definedName>
    <definedName name="OSRRefE21_5_0x" localSheetId="72">'310 &amp; 491'!$N$62:$O$62</definedName>
    <definedName name="OSRRefE21_5_0x" localSheetId="55">'311'!$N$86:$O$86</definedName>
    <definedName name="OSRRefE21_5_0x" localSheetId="66">'313'!$N$51:$O$51</definedName>
    <definedName name="OSRRefE21_5_0x" localSheetId="58">'315'!$N$107:$O$107</definedName>
    <definedName name="OSRRefE21_5_0x" localSheetId="61">'316'!$N$58:$O$58</definedName>
    <definedName name="OSRRefE21_5_0x" localSheetId="63">'317'!$N$80:$O$80</definedName>
    <definedName name="OSRRefE21_5_0x" localSheetId="67">'321'!$N$50:$O$50</definedName>
    <definedName name="OSRRefE21_5_0x" localSheetId="68">'322'!$N$48:$O$48</definedName>
    <definedName name="OSRRefE21_5_0x" localSheetId="69">'325'!$N$47:$O$47</definedName>
    <definedName name="OSRRefE21_5_0x" localSheetId="59">'326'!$N$74:$O$74</definedName>
    <definedName name="OSRRefE21_5_0x" localSheetId="52">'330'!$N$68:$O$68</definedName>
    <definedName name="OSRRefE21_5_0x" localSheetId="57">'331'!$N$108:$O$108</definedName>
    <definedName name="OSRRefE21_5_0x" localSheetId="60">'332'!$N$60:$O$60</definedName>
    <definedName name="OSRRefE21_5_0x" localSheetId="74">'405'!$N$50:$O$50</definedName>
    <definedName name="OSRRefE21_5_0x" localSheetId="76">'411'!$N$47:$O$47</definedName>
    <definedName name="OSRRefE21_5_0x" localSheetId="77">'412'!$N$48:$O$48</definedName>
    <definedName name="OSRRefE21_5_0x" localSheetId="78">'413'!$N$49:$O$49</definedName>
    <definedName name="OSRRefE21_5_0x" localSheetId="79">'414'!$N$51:$O$51</definedName>
    <definedName name="OSRRefE21_5_0x" localSheetId="80">'415'!$N$53:$O$53</definedName>
    <definedName name="OSRRefE21_5_0x" localSheetId="81">'418'!$N$50:$O$50</definedName>
    <definedName name="OSRRefE21_5_0x" localSheetId="83">'423'!$N$46:$O$46</definedName>
    <definedName name="OSRRefE21_5_0x" localSheetId="85">'425'!$N$35:$O$35</definedName>
    <definedName name="OSRRefE21_5_0x" localSheetId="88">'430'!$N$48:$O$48</definedName>
    <definedName name="OSRRefE21_5_0x" localSheetId="89">'433'!$N$54:$O$54</definedName>
    <definedName name="OSRRefE21_5_0x" localSheetId="91">'444'!$N$54:$O$54</definedName>
    <definedName name="OSRRefE21_5_0x" localSheetId="92">'450'!$N$50:$O$50</definedName>
    <definedName name="OSRRefE21_5_0x" localSheetId="73">'491'!$N$56:$O$56</definedName>
    <definedName name="OSRRefE21_5_0x" localSheetId="87">'492'!$N$54:$O$54</definedName>
    <definedName name="OSRRefE21_5_0x" localSheetId="94">'501'!$N$49:$O$49</definedName>
    <definedName name="OSRRefE21_5_0x" localSheetId="39">'Div 2'!$N$48:$O$48</definedName>
    <definedName name="OSRRefE21_5_0x" localSheetId="47">'Div 3'!$N$156:$O$156</definedName>
    <definedName name="OSRRefE21_5_0x" localSheetId="71">'Div 4'!$N$59:$O$59</definedName>
    <definedName name="OSRRefE21_5_0x" localSheetId="93">'Div 5'!$N$49:$O$49</definedName>
    <definedName name="OSRRefE21_5_0x" localSheetId="62">'Div 6'!$N$80:$O$80</definedName>
    <definedName name="OSRRefE21_5_0x" localSheetId="2">Summary!$N$186:$O$186</definedName>
    <definedName name="OSRRefE21_5_1x" localSheetId="44">'204'!$N$48:$O$48</definedName>
    <definedName name="OSRRefE21_5_1x" localSheetId="48">'300'!$N$153:$O$153</definedName>
    <definedName name="OSRRefE21_5_1x" localSheetId="49">'300 &amp; 317'!$N$177:$O$177</definedName>
    <definedName name="OSRRefE21_5_1x" localSheetId="50">'301'!$N$50:$O$50</definedName>
    <definedName name="OSRRefE21_5_1x" localSheetId="53">'307'!$N$65:$O$65</definedName>
    <definedName name="OSRRefE21_5_1x" localSheetId="64">'310'!$N$57:$O$57</definedName>
    <definedName name="OSRRefE21_5_1x" localSheetId="72">'310 &amp; 491'!$N$63:$O$63</definedName>
    <definedName name="OSRRefE21_5_1x" localSheetId="58">'315'!$N$108:$O$108</definedName>
    <definedName name="OSRRefE21_5_1x" localSheetId="69">'325'!$N$48:$O$48</definedName>
    <definedName name="OSRRefE21_5_1x" localSheetId="52">'330'!$N$69:$O$69</definedName>
    <definedName name="OSRRefE21_5_1x" localSheetId="57">'331'!$N$109:$O$109</definedName>
    <definedName name="OSRRefE21_5_1x" localSheetId="80">'415'!$N$54:$O$54</definedName>
    <definedName name="OSRRefE21_5_1x" localSheetId="88">'430'!$N$49:$O$49</definedName>
    <definedName name="OSRRefE21_5_1x" localSheetId="73">'491'!$N$57:$O$57</definedName>
    <definedName name="OSRRefE21_5_1x" localSheetId="94">'501'!$N$50:$O$50</definedName>
    <definedName name="OSRRefE21_5_1x" localSheetId="47">'Div 3'!$N$157:$O$157</definedName>
    <definedName name="OSRRefE21_5_1x" localSheetId="71">'Div 4'!$N$60:$O$60</definedName>
    <definedName name="OSRRefE21_5_1x" localSheetId="93">'Div 5'!$N$50:$O$50</definedName>
    <definedName name="OSRRefE21_5_1x" localSheetId="2">Summary!$N$187:$O$187</definedName>
    <definedName name="OSRRefE21_5_2x" localSheetId="44">'204'!$N$49:$O$49</definedName>
    <definedName name="OSRRefE21_5_2x" localSheetId="72">'310 &amp; 491'!$N$64:$O$64</definedName>
    <definedName name="OSRRefE21_5_2x" localSheetId="73">'491'!$N$58:$O$58</definedName>
    <definedName name="OSRRefE21_5_2x" localSheetId="71">'Div 4'!$N$61:$O$61</definedName>
    <definedName name="OSRRefE21_5_2x" localSheetId="2">Summary!$N$188:$O$188</definedName>
    <definedName name="OSRRefE21_5x_0" localSheetId="41">'201'!$N$46</definedName>
    <definedName name="OSRRefE21_5x_0" localSheetId="42">'202'!$N$47</definedName>
    <definedName name="OSRRefE21_5x_0" localSheetId="43">'203'!$N$47</definedName>
    <definedName name="OSRRefE21_5x_0" localSheetId="44">'204'!$N$47:$N$49</definedName>
    <definedName name="OSRRefE21_5x_0" localSheetId="45">'205'!$N$47</definedName>
    <definedName name="OSRRefE21_5x_0" localSheetId="46">'206'!$N$46</definedName>
    <definedName name="OSRRefE21_5x_0" localSheetId="48">'300'!$N$152:$N$153</definedName>
    <definedName name="OSRRefE21_5x_0" localSheetId="49">'300 &amp; 317'!$N$176:$N$177</definedName>
    <definedName name="OSRRefE21_5x_0" localSheetId="50">'301'!$N$49:$N$50</definedName>
    <definedName name="OSRRefE21_5x_0" localSheetId="51">'306'!$N$46</definedName>
    <definedName name="OSRRefE21_5x_0" localSheetId="53">'307'!$N$64:$N$65</definedName>
    <definedName name="OSRRefE21_5x_0" localSheetId="54">'308'!$N$87</definedName>
    <definedName name="OSRRefE21_5x_0" localSheetId="65">'309'!$N$47</definedName>
    <definedName name="OSRRefE21_5x_0" localSheetId="64">'310'!$N$56:$N$57</definedName>
    <definedName name="OSRRefE21_5x_0" localSheetId="72">'310 &amp; 491'!$N$62:$N$64</definedName>
    <definedName name="OSRRefE21_5x_0" localSheetId="55">'311'!$N$86</definedName>
    <definedName name="OSRRefE21_5x_0" localSheetId="66">'313'!$N$51</definedName>
    <definedName name="OSRRefE21_5x_0" localSheetId="58">'315'!$N$107:$N$108</definedName>
    <definedName name="OSRRefE21_5x_0" localSheetId="61">'316'!$N$58</definedName>
    <definedName name="OSRRefE21_5x_0" localSheetId="63">'317'!$N$80</definedName>
    <definedName name="OSRRefE21_5x_0" localSheetId="67">'321'!$N$50</definedName>
    <definedName name="OSRRefE21_5x_0" localSheetId="68">'322'!$N$48</definedName>
    <definedName name="OSRRefE21_5x_0" localSheetId="69">'325'!$N$47:$N$48</definedName>
    <definedName name="OSRRefE21_5x_0" localSheetId="59">'326'!$N$74</definedName>
    <definedName name="OSRRefE21_5x_0" localSheetId="52">'330'!$N$68:$N$69</definedName>
    <definedName name="OSRRefE21_5x_0" localSheetId="57">'331'!$N$108:$N$109</definedName>
    <definedName name="OSRRefE21_5x_0" localSheetId="60">'332'!$N$60</definedName>
    <definedName name="OSRRefE21_5x_0" localSheetId="74">'405'!$N$50</definedName>
    <definedName name="OSRRefE21_5x_0" localSheetId="76">'411'!$N$47</definedName>
    <definedName name="OSRRefE21_5x_0" localSheetId="77">'412'!$N$48</definedName>
    <definedName name="OSRRefE21_5x_0" localSheetId="78">'413'!$N$49</definedName>
    <definedName name="OSRRefE21_5x_0" localSheetId="79">'414'!$N$51</definedName>
    <definedName name="OSRRefE21_5x_0" localSheetId="80">'415'!$N$53:$N$54</definedName>
    <definedName name="OSRRefE21_5x_0" localSheetId="81">'418'!$N$50</definedName>
    <definedName name="OSRRefE21_5x_0" localSheetId="83">'423'!$N$46</definedName>
    <definedName name="OSRRefE21_5x_0" localSheetId="85">'425'!$N$35</definedName>
    <definedName name="OSRRefE21_5x_0" localSheetId="88">'430'!$N$48:$N$49</definedName>
    <definedName name="OSRRefE21_5x_0" localSheetId="89">'433'!$N$54</definedName>
    <definedName name="OSRRefE21_5x_0" localSheetId="91">'444'!$N$54</definedName>
    <definedName name="OSRRefE21_5x_0" localSheetId="92">'450'!$N$50</definedName>
    <definedName name="OSRRefE21_5x_0" localSheetId="73">'491'!$N$56:$N$58</definedName>
    <definedName name="OSRRefE21_5x_0" localSheetId="87">'492'!$N$54</definedName>
    <definedName name="OSRRefE21_5x_0" localSheetId="94">'501'!$N$49:$N$50</definedName>
    <definedName name="OSRRefE21_5x_0" localSheetId="39">'Div 2'!$N$48</definedName>
    <definedName name="OSRRefE21_5x_0" localSheetId="47">'Div 3'!$N$156:$N$157</definedName>
    <definedName name="OSRRefE21_5x_0" localSheetId="71">'Div 4'!$N$59:$N$61</definedName>
    <definedName name="OSRRefE21_5x_0" localSheetId="93">'Div 5'!$N$49:$N$50</definedName>
    <definedName name="OSRRefE21_5x_0" localSheetId="62">'Div 6'!$N$80</definedName>
    <definedName name="OSRRefE21_5x_0" localSheetId="2">Summary!$N$186:$N$188</definedName>
    <definedName name="OSRRefE21_5x_1" localSheetId="41">'201'!$O$46</definedName>
    <definedName name="OSRRefE21_5x_1" localSheetId="42">'202'!$O$47</definedName>
    <definedName name="OSRRefE21_5x_1" localSheetId="43">'203'!$O$47</definedName>
    <definedName name="OSRRefE21_5x_1" localSheetId="44">'204'!$O$47:$O$49</definedName>
    <definedName name="OSRRefE21_5x_1" localSheetId="45">'205'!$O$47</definedName>
    <definedName name="OSRRefE21_5x_1" localSheetId="46">'206'!$O$46</definedName>
    <definedName name="OSRRefE21_5x_1" localSheetId="48">'300'!$O$152:$O$153</definedName>
    <definedName name="OSRRefE21_5x_1" localSheetId="49">'300 &amp; 317'!$O$176:$O$177</definedName>
    <definedName name="OSRRefE21_5x_1" localSheetId="50">'301'!$O$49:$O$50</definedName>
    <definedName name="OSRRefE21_5x_1" localSheetId="51">'306'!$O$46</definedName>
    <definedName name="OSRRefE21_5x_1" localSheetId="53">'307'!$O$64:$O$65</definedName>
    <definedName name="OSRRefE21_5x_1" localSheetId="54">'308'!$O$87</definedName>
    <definedName name="OSRRefE21_5x_1" localSheetId="65">'309'!$O$47</definedName>
    <definedName name="OSRRefE21_5x_1" localSheetId="64">'310'!$O$56:$O$57</definedName>
    <definedName name="OSRRefE21_5x_1" localSheetId="72">'310 &amp; 491'!$O$62:$O$64</definedName>
    <definedName name="OSRRefE21_5x_1" localSheetId="55">'311'!$O$86</definedName>
    <definedName name="OSRRefE21_5x_1" localSheetId="66">'313'!$O$51</definedName>
    <definedName name="OSRRefE21_5x_1" localSheetId="58">'315'!$O$107:$O$108</definedName>
    <definedName name="OSRRefE21_5x_1" localSheetId="61">'316'!$O$58</definedName>
    <definedName name="OSRRefE21_5x_1" localSheetId="63">'317'!$O$80</definedName>
    <definedName name="OSRRefE21_5x_1" localSheetId="67">'321'!$O$50</definedName>
    <definedName name="OSRRefE21_5x_1" localSheetId="68">'322'!$O$48</definedName>
    <definedName name="OSRRefE21_5x_1" localSheetId="69">'325'!$O$47:$O$48</definedName>
    <definedName name="OSRRefE21_5x_1" localSheetId="59">'326'!$O$74</definedName>
    <definedName name="OSRRefE21_5x_1" localSheetId="52">'330'!$O$68:$O$69</definedName>
    <definedName name="OSRRefE21_5x_1" localSheetId="57">'331'!$O$108:$O$109</definedName>
    <definedName name="OSRRefE21_5x_1" localSheetId="60">'332'!$O$60</definedName>
    <definedName name="OSRRefE21_5x_1" localSheetId="74">'405'!$O$50</definedName>
    <definedName name="OSRRefE21_5x_1" localSheetId="76">'411'!$O$47</definedName>
    <definedName name="OSRRefE21_5x_1" localSheetId="77">'412'!$O$48</definedName>
    <definedName name="OSRRefE21_5x_1" localSheetId="78">'413'!$O$49</definedName>
    <definedName name="OSRRefE21_5x_1" localSheetId="79">'414'!$O$51</definedName>
    <definedName name="OSRRefE21_5x_1" localSheetId="80">'415'!$O$53:$O$54</definedName>
    <definedName name="OSRRefE21_5x_1" localSheetId="81">'418'!$O$50</definedName>
    <definedName name="OSRRefE21_5x_1" localSheetId="83">'423'!$O$46</definedName>
    <definedName name="OSRRefE21_5x_1" localSheetId="85">'425'!$O$35</definedName>
    <definedName name="OSRRefE21_5x_1" localSheetId="88">'430'!$O$48:$O$49</definedName>
    <definedName name="OSRRefE21_5x_1" localSheetId="89">'433'!$O$54</definedName>
    <definedName name="OSRRefE21_5x_1" localSheetId="91">'444'!$O$54</definedName>
    <definedName name="OSRRefE21_5x_1" localSheetId="92">'450'!$O$50</definedName>
    <definedName name="OSRRefE21_5x_1" localSheetId="73">'491'!$O$56:$O$58</definedName>
    <definedName name="OSRRefE21_5x_1" localSheetId="87">'492'!$O$54</definedName>
    <definedName name="OSRRefE21_5x_1" localSheetId="94">'501'!$O$49:$O$50</definedName>
    <definedName name="OSRRefE21_5x_1" localSheetId="39">'Div 2'!$O$48</definedName>
    <definedName name="OSRRefE21_5x_1" localSheetId="47">'Div 3'!$O$156:$O$157</definedName>
    <definedName name="OSRRefE21_5x_1" localSheetId="71">'Div 4'!$O$59:$O$61</definedName>
    <definedName name="OSRRefE21_5x_1" localSheetId="93">'Div 5'!$O$49:$O$50</definedName>
    <definedName name="OSRRefE21_5x_1" localSheetId="62">'Div 6'!$O$80</definedName>
    <definedName name="OSRRefE21_5x_1" localSheetId="2">Summary!$O$186:$O$188</definedName>
    <definedName name="OSRRefE21_6_0x" localSheetId="41">'201'!$N$48:$O$48</definedName>
    <definedName name="OSRRefE21_6_0x" localSheetId="42">'202'!$N$49:$O$49</definedName>
    <definedName name="OSRRefE21_6_0x" localSheetId="43">'203'!$N$49:$O$49</definedName>
    <definedName name="OSRRefE21_6_0x" localSheetId="44">'204'!$N$51:$O$51</definedName>
    <definedName name="OSRRefE21_6_0x" localSheetId="45">'205'!$N$49:$O$49</definedName>
    <definedName name="OSRRefE21_6_0x" localSheetId="46">'206'!$N$48:$O$48</definedName>
    <definedName name="OSRRefE21_6_0x" localSheetId="48">'300'!$N$155:$O$155</definedName>
    <definedName name="OSRRefE21_6_0x" localSheetId="49">'300 &amp; 317'!$N$179:$O$179</definedName>
    <definedName name="OSRRefE21_6_0x" localSheetId="50">'301'!$N$52:$O$52</definedName>
    <definedName name="OSRRefE21_6_0x" localSheetId="51">'306'!$N$48:$O$48</definedName>
    <definedName name="OSRRefE21_6_0x" localSheetId="53">'307'!$N$67:$O$67</definedName>
    <definedName name="OSRRefE21_6_0x" localSheetId="54">'308'!$N$89:$O$89</definedName>
    <definedName name="OSRRefE21_6_0x" localSheetId="65">'309'!$N$49:$O$49</definedName>
    <definedName name="OSRRefE21_6_0x" localSheetId="64">'310'!$N$59:$O$59</definedName>
    <definedName name="OSRRefE21_6_0x" localSheetId="72">'310 &amp; 491'!$N$66:$O$66</definedName>
    <definedName name="OSRRefE21_6_0x" localSheetId="55">'311'!$N$88:$O$88</definedName>
    <definedName name="OSRRefE21_6_0x" localSheetId="66">'313'!$N$53:$O$53</definedName>
    <definedName name="OSRRefE21_6_0x" localSheetId="58">'315'!$N$110:$O$110</definedName>
    <definedName name="OSRRefE21_6_0x" localSheetId="61">'316'!$N$60:$O$60</definedName>
    <definedName name="OSRRefE21_6_0x" localSheetId="63">'317'!$N$82:$O$82</definedName>
    <definedName name="OSRRefE21_6_0x" localSheetId="67">'321'!$N$52:$O$52</definedName>
    <definedName name="OSRRefE21_6_0x" localSheetId="68">'322'!$N$50:$O$50</definedName>
    <definedName name="OSRRefE21_6_0x" localSheetId="69">'325'!$N$50:$O$50</definedName>
    <definedName name="OSRRefE21_6_0x" localSheetId="59">'326'!$N$76:$O$76</definedName>
    <definedName name="OSRRefE21_6_0x" localSheetId="52">'330'!$N$71:$O$71</definedName>
    <definedName name="OSRRefE21_6_0x" localSheetId="57">'331'!$N$111:$O$111</definedName>
    <definedName name="OSRRefE21_6_0x" localSheetId="60">'332'!$N$62:$O$62</definedName>
    <definedName name="OSRRefE21_6_0x" localSheetId="74">'405'!$N$52:$O$52</definedName>
    <definedName name="OSRRefE21_6_0x" localSheetId="76">'411'!$N$49:$O$49</definedName>
    <definedName name="OSRRefE21_6_0x" localSheetId="77">'412'!$N$50:$O$50</definedName>
    <definedName name="OSRRefE21_6_0x" localSheetId="78">'413'!$N$51:$O$51</definedName>
    <definedName name="OSRRefE21_6_0x" localSheetId="79">'414'!$N$53:$O$53</definedName>
    <definedName name="OSRRefE21_6_0x" localSheetId="80">'415'!$N$56:$O$56</definedName>
    <definedName name="OSRRefE21_6_0x" localSheetId="81">'418'!$N$52:$O$52</definedName>
    <definedName name="OSRRefE21_6_0x" localSheetId="83">'423'!$N$48:$O$48</definedName>
    <definedName name="OSRRefE21_6_0x" localSheetId="88">'430'!$N$51:$O$51</definedName>
    <definedName name="OSRRefE21_6_0x" localSheetId="89">'433'!$N$56:$O$56</definedName>
    <definedName name="OSRRefE21_6_0x" localSheetId="91">'444'!$N$56:$O$56</definedName>
    <definedName name="OSRRefE21_6_0x" localSheetId="92">'450'!$N$52:$O$52</definedName>
    <definedName name="OSRRefE21_6_0x" localSheetId="73">'491'!$N$60:$O$60</definedName>
    <definedName name="OSRRefE21_6_0x" localSheetId="87">'492'!$N$56:$O$56</definedName>
    <definedName name="OSRRefE21_6_0x" localSheetId="94">'501'!$N$52:$O$52</definedName>
    <definedName name="OSRRefE21_6_0x" localSheetId="39">'Div 2'!$N$50:$O$50</definedName>
    <definedName name="OSRRefE21_6_0x" localSheetId="47">'Div 3'!$N$159:$O$159</definedName>
    <definedName name="OSRRefE21_6_0x" localSheetId="71">'Div 4'!$N$63:$O$63</definedName>
    <definedName name="OSRRefE21_6_0x" localSheetId="93">'Div 5'!$N$52:$O$52</definedName>
    <definedName name="OSRRefE21_6_0x" localSheetId="62">'Div 6'!$N$82:$O$82</definedName>
    <definedName name="OSRRefE21_6_0x" localSheetId="2">Summary!$N$190:$O$190</definedName>
    <definedName name="OSRRefE21_6_1x" localSheetId="45">'205'!$N$50:$O$50</definedName>
    <definedName name="OSRRefE21_6_1x" localSheetId="48">'300'!$N$156:$O$156</definedName>
    <definedName name="OSRRefE21_6_1x" localSheetId="49">'300 &amp; 317'!$N$180:$O$180</definedName>
    <definedName name="OSRRefE21_6_1x" localSheetId="53">'307'!$N$68:$O$68</definedName>
    <definedName name="OSRRefE21_6_1x" localSheetId="54">'308'!$N$90:$O$90</definedName>
    <definedName name="OSRRefE21_6_1x" localSheetId="55">'311'!$N$89:$O$89</definedName>
    <definedName name="OSRRefE21_6_1x" localSheetId="61">'316'!$N$61:$O$61</definedName>
    <definedName name="OSRRefE21_6_1x" localSheetId="63">'317'!$N$83:$O$83</definedName>
    <definedName name="OSRRefE21_6_1x" localSheetId="67">'321'!$N$53:$O$53</definedName>
    <definedName name="OSRRefE21_6_1x" localSheetId="68">'322'!$N$51:$O$51</definedName>
    <definedName name="OSRRefE21_6_1x" localSheetId="52">'330'!$N$72:$O$72</definedName>
    <definedName name="OSRRefE21_6_1x" localSheetId="60">'332'!$N$63:$O$63</definedName>
    <definedName name="OSRRefE21_6_1x" localSheetId="78">'413'!$N$52:$O$52</definedName>
    <definedName name="OSRRefE21_6_1x" localSheetId="47">'Div 3'!$N$160:$O$160</definedName>
    <definedName name="OSRRefE21_6_1x" localSheetId="62">'Div 6'!$N$83:$O$83</definedName>
    <definedName name="OSRRefE21_6_1x" localSheetId="2">Summary!$N$191:$O$191</definedName>
    <definedName name="OSRRefE21_6x_0" localSheetId="41">'201'!$N$48</definedName>
    <definedName name="OSRRefE21_6x_0" localSheetId="42">'202'!$N$49</definedName>
    <definedName name="OSRRefE21_6x_0" localSheetId="43">'203'!$N$49</definedName>
    <definedName name="OSRRefE21_6x_0" localSheetId="44">'204'!$N$51</definedName>
    <definedName name="OSRRefE21_6x_0" localSheetId="45">'205'!$N$49:$N$50</definedName>
    <definedName name="OSRRefE21_6x_0" localSheetId="46">'206'!$N$48</definedName>
    <definedName name="OSRRefE21_6x_0" localSheetId="48">'300'!$N$155:$N$156</definedName>
    <definedName name="OSRRefE21_6x_0" localSheetId="49">'300 &amp; 317'!$N$179:$N$180</definedName>
    <definedName name="OSRRefE21_6x_0" localSheetId="50">'301'!$N$52</definedName>
    <definedName name="OSRRefE21_6x_0" localSheetId="51">'306'!$N$48</definedName>
    <definedName name="OSRRefE21_6x_0" localSheetId="53">'307'!$N$67:$N$68</definedName>
    <definedName name="OSRRefE21_6x_0" localSheetId="54">'308'!$N$89:$N$90</definedName>
    <definedName name="OSRRefE21_6x_0" localSheetId="65">'309'!$N$49</definedName>
    <definedName name="OSRRefE21_6x_0" localSheetId="64">'310'!$N$59</definedName>
    <definedName name="OSRRefE21_6x_0" localSheetId="72">'310 &amp; 491'!$N$66</definedName>
    <definedName name="OSRRefE21_6x_0" localSheetId="55">'311'!$N$88:$N$89</definedName>
    <definedName name="OSRRefE21_6x_0" localSheetId="66">'313'!$N$53</definedName>
    <definedName name="OSRRefE21_6x_0" localSheetId="58">'315'!$N$110</definedName>
    <definedName name="OSRRefE21_6x_0" localSheetId="61">'316'!$N$60:$N$61</definedName>
    <definedName name="OSRRefE21_6x_0" localSheetId="63">'317'!$N$82:$N$83</definedName>
    <definedName name="OSRRefE21_6x_0" localSheetId="67">'321'!$N$52:$N$53</definedName>
    <definedName name="OSRRefE21_6x_0" localSheetId="68">'322'!$N$50:$N$51</definedName>
    <definedName name="OSRRefE21_6x_0" localSheetId="69">'325'!$N$50</definedName>
    <definedName name="OSRRefE21_6x_0" localSheetId="59">'326'!$N$76</definedName>
    <definedName name="OSRRefE21_6x_0" localSheetId="52">'330'!$N$71:$N$72</definedName>
    <definedName name="OSRRefE21_6x_0" localSheetId="57">'331'!$N$111</definedName>
    <definedName name="OSRRefE21_6x_0" localSheetId="60">'332'!$N$62:$N$63</definedName>
    <definedName name="OSRRefE21_6x_0" localSheetId="74">'405'!$N$52</definedName>
    <definedName name="OSRRefE21_6x_0" localSheetId="76">'411'!$N$49</definedName>
    <definedName name="OSRRefE21_6x_0" localSheetId="77">'412'!$N$50</definedName>
    <definedName name="OSRRefE21_6x_0" localSheetId="78">'413'!$N$51:$N$52</definedName>
    <definedName name="OSRRefE21_6x_0" localSheetId="79">'414'!$N$53</definedName>
    <definedName name="OSRRefE21_6x_0" localSheetId="80">'415'!$N$56</definedName>
    <definedName name="OSRRefE21_6x_0" localSheetId="81">'418'!$N$52</definedName>
    <definedName name="OSRRefE21_6x_0" localSheetId="83">'423'!$N$48</definedName>
    <definedName name="OSRRefE21_6x_0" localSheetId="88">'430'!$N$51</definedName>
    <definedName name="OSRRefE21_6x_0" localSheetId="89">'433'!$N$56</definedName>
    <definedName name="OSRRefE21_6x_0" localSheetId="91">'444'!$N$56</definedName>
    <definedName name="OSRRefE21_6x_0" localSheetId="92">'450'!$N$52</definedName>
    <definedName name="OSRRefE21_6x_0" localSheetId="73">'491'!$N$60</definedName>
    <definedName name="OSRRefE21_6x_0" localSheetId="87">'492'!$N$56</definedName>
    <definedName name="OSRRefE21_6x_0" localSheetId="94">'501'!$N$52</definedName>
    <definedName name="OSRRefE21_6x_0" localSheetId="39">'Div 2'!$N$50</definedName>
    <definedName name="OSRRefE21_6x_0" localSheetId="47">'Div 3'!$N$159:$N$160</definedName>
    <definedName name="OSRRefE21_6x_0" localSheetId="71">'Div 4'!$N$63</definedName>
    <definedName name="OSRRefE21_6x_0" localSheetId="93">'Div 5'!$N$52</definedName>
    <definedName name="OSRRefE21_6x_0" localSheetId="62">'Div 6'!$N$82:$N$83</definedName>
    <definedName name="OSRRefE21_6x_0" localSheetId="2">Summary!$N$190:$N$191</definedName>
    <definedName name="OSRRefE21_6x_1" localSheetId="41">'201'!$O$48</definedName>
    <definedName name="OSRRefE21_6x_1" localSheetId="42">'202'!$O$49</definedName>
    <definedName name="OSRRefE21_6x_1" localSheetId="43">'203'!$O$49</definedName>
    <definedName name="OSRRefE21_6x_1" localSheetId="44">'204'!$O$51</definedName>
    <definedName name="OSRRefE21_6x_1" localSheetId="45">'205'!$O$49:$O$50</definedName>
    <definedName name="OSRRefE21_6x_1" localSheetId="46">'206'!$O$48</definedName>
    <definedName name="OSRRefE21_6x_1" localSheetId="48">'300'!$O$155:$O$156</definedName>
    <definedName name="OSRRefE21_6x_1" localSheetId="49">'300 &amp; 317'!$O$179:$O$180</definedName>
    <definedName name="OSRRefE21_6x_1" localSheetId="50">'301'!$O$52</definedName>
    <definedName name="OSRRefE21_6x_1" localSheetId="51">'306'!$O$48</definedName>
    <definedName name="OSRRefE21_6x_1" localSheetId="53">'307'!$O$67:$O$68</definedName>
    <definedName name="OSRRefE21_6x_1" localSheetId="54">'308'!$O$89:$O$90</definedName>
    <definedName name="OSRRefE21_6x_1" localSheetId="65">'309'!$O$49</definedName>
    <definedName name="OSRRefE21_6x_1" localSheetId="64">'310'!$O$59</definedName>
    <definedName name="OSRRefE21_6x_1" localSheetId="72">'310 &amp; 491'!$O$66</definedName>
    <definedName name="OSRRefE21_6x_1" localSheetId="55">'311'!$O$88:$O$89</definedName>
    <definedName name="OSRRefE21_6x_1" localSheetId="66">'313'!$O$53</definedName>
    <definedName name="OSRRefE21_6x_1" localSheetId="58">'315'!$O$110</definedName>
    <definedName name="OSRRefE21_6x_1" localSheetId="61">'316'!$O$60:$O$61</definedName>
    <definedName name="OSRRefE21_6x_1" localSheetId="63">'317'!$O$82:$O$83</definedName>
    <definedName name="OSRRefE21_6x_1" localSheetId="67">'321'!$O$52:$O$53</definedName>
    <definedName name="OSRRefE21_6x_1" localSheetId="68">'322'!$O$50:$O$51</definedName>
    <definedName name="OSRRefE21_6x_1" localSheetId="69">'325'!$O$50</definedName>
    <definedName name="OSRRefE21_6x_1" localSheetId="59">'326'!$O$76</definedName>
    <definedName name="OSRRefE21_6x_1" localSheetId="52">'330'!$O$71:$O$72</definedName>
    <definedName name="OSRRefE21_6x_1" localSheetId="57">'331'!$O$111</definedName>
    <definedName name="OSRRefE21_6x_1" localSheetId="60">'332'!$O$62:$O$63</definedName>
    <definedName name="OSRRefE21_6x_1" localSheetId="74">'405'!$O$52</definedName>
    <definedName name="OSRRefE21_6x_1" localSheetId="76">'411'!$O$49</definedName>
    <definedName name="OSRRefE21_6x_1" localSheetId="77">'412'!$O$50</definedName>
    <definedName name="OSRRefE21_6x_1" localSheetId="78">'413'!$O$51:$O$52</definedName>
    <definedName name="OSRRefE21_6x_1" localSheetId="79">'414'!$O$53</definedName>
    <definedName name="OSRRefE21_6x_1" localSheetId="80">'415'!$O$56</definedName>
    <definedName name="OSRRefE21_6x_1" localSheetId="81">'418'!$O$52</definedName>
    <definedName name="OSRRefE21_6x_1" localSheetId="83">'423'!$O$48</definedName>
    <definedName name="OSRRefE21_6x_1" localSheetId="88">'430'!$O$51</definedName>
    <definedName name="OSRRefE21_6x_1" localSheetId="89">'433'!$O$56</definedName>
    <definedName name="OSRRefE21_6x_1" localSheetId="91">'444'!$O$56</definedName>
    <definedName name="OSRRefE21_6x_1" localSheetId="92">'450'!$O$52</definedName>
    <definedName name="OSRRefE21_6x_1" localSheetId="73">'491'!$O$60</definedName>
    <definedName name="OSRRefE21_6x_1" localSheetId="87">'492'!$O$56</definedName>
    <definedName name="OSRRefE21_6x_1" localSheetId="94">'501'!$O$52</definedName>
    <definedName name="OSRRefE21_6x_1" localSheetId="39">'Div 2'!$O$50</definedName>
    <definedName name="OSRRefE21_6x_1" localSheetId="47">'Div 3'!$O$159:$O$160</definedName>
    <definedName name="OSRRefE21_6x_1" localSheetId="71">'Div 4'!$O$63</definedName>
    <definedName name="OSRRefE21_6x_1" localSheetId="93">'Div 5'!$O$52</definedName>
    <definedName name="OSRRefE21_6x_1" localSheetId="62">'Div 6'!$O$82:$O$83</definedName>
    <definedName name="OSRRefE21_6x_1" localSheetId="2">Summary!$O$190:$O$191</definedName>
    <definedName name="OSRRefE21_7_0x" localSheetId="41">'201'!$N$50:$O$50</definedName>
    <definedName name="OSRRefE21_7_0x" localSheetId="42">'202'!$N$51:$O$51</definedName>
    <definedName name="OSRRefE21_7_0x" localSheetId="43">'203'!$N$51:$O$51</definedName>
    <definedName name="OSRRefE21_7_0x" localSheetId="44">'204'!$N$53:$O$53</definedName>
    <definedName name="OSRRefE21_7_0x" localSheetId="45">'205'!$N$52:$O$52</definedName>
    <definedName name="OSRRefE21_7_0x" localSheetId="48">'300'!$N$158:$O$158</definedName>
    <definedName name="OSRRefE21_7_0x" localSheetId="49">'300 &amp; 317'!$N$182:$O$182</definedName>
    <definedName name="OSRRefE21_7_0x" localSheetId="50">'301'!$N$54:$O$54</definedName>
    <definedName name="OSRRefE21_7_0x" localSheetId="51">'306'!$N$50:$O$50</definedName>
    <definedName name="OSRRefE21_7_0x" localSheetId="53">'307'!$N$70:$O$70</definedName>
    <definedName name="OSRRefE21_7_0x" localSheetId="54">'308'!$N$92:$O$92</definedName>
    <definedName name="OSRRefE21_7_0x" localSheetId="65">'309'!$N$51:$O$51</definedName>
    <definedName name="OSRRefE21_7_0x" localSheetId="64">'310'!$N$61:$O$61</definedName>
    <definedName name="OSRRefE21_7_0x" localSheetId="72">'310 &amp; 491'!$N$68:$O$68</definedName>
    <definedName name="OSRRefE21_7_0x" localSheetId="55">'311'!$N$91:$O$91</definedName>
    <definedName name="OSRRefE21_7_0x" localSheetId="58">'315'!$N$112:$O$112</definedName>
    <definedName name="OSRRefE21_7_0x" localSheetId="61">'316'!$N$63:$O$63</definedName>
    <definedName name="OSRRefE21_7_0x" localSheetId="63">'317'!$N$85:$O$85</definedName>
    <definedName name="OSRRefE21_7_0x" localSheetId="67">'321'!$N$55:$O$55</definedName>
    <definedName name="OSRRefE21_7_0x" localSheetId="68">'322'!$N$53:$O$53</definedName>
    <definedName name="OSRRefE21_7_0x" localSheetId="69">'325'!$N$52:$O$52</definedName>
    <definedName name="OSRRefE21_7_0x" localSheetId="59">'326'!$N$78:$O$78</definedName>
    <definedName name="OSRRefE21_7_0x" localSheetId="52">'330'!$N$74:$O$74</definedName>
    <definedName name="OSRRefE21_7_0x" localSheetId="57">'331'!$N$113:$O$113</definedName>
    <definedName name="OSRRefE21_7_0x" localSheetId="60">'332'!$N$65:$O$65</definedName>
    <definedName name="OSRRefE21_7_0x" localSheetId="74">'405'!$N$54:$O$54</definedName>
    <definedName name="OSRRefE21_7_0x" localSheetId="76">'411'!$N$51:$O$51</definedName>
    <definedName name="OSRRefE21_7_0x" localSheetId="77">'412'!$N$52:$O$52</definedName>
    <definedName name="OSRRefE21_7_0x" localSheetId="78">'413'!$N$54:$O$54</definedName>
    <definedName name="OSRRefE21_7_0x" localSheetId="79">'414'!$N$55:$O$55</definedName>
    <definedName name="OSRRefE21_7_0x" localSheetId="80">'415'!$N$58:$O$58</definedName>
    <definedName name="OSRRefE21_7_0x" localSheetId="81">'418'!$N$54:$O$54</definedName>
    <definedName name="OSRRefE21_7_0x" localSheetId="88">'430'!$N$53:$O$53</definedName>
    <definedName name="OSRRefE21_7_0x" localSheetId="89">'433'!$N$58:$O$58</definedName>
    <definedName name="OSRRefE21_7_0x" localSheetId="91">'444'!$N$58:$O$58</definedName>
    <definedName name="OSRRefE21_7_0x" localSheetId="92">'450'!$N$54:$O$54</definedName>
    <definedName name="OSRRefE21_7_0x" localSheetId="73">'491'!$N$62:$O$62</definedName>
    <definedName name="OSRRefE21_7_0x" localSheetId="87">'492'!$N$58:$O$58</definedName>
    <definedName name="OSRRefE21_7_0x" localSheetId="94">'501'!$N$54:$O$54</definedName>
    <definedName name="OSRRefE21_7_0x" localSheetId="39">'Div 2'!$N$52:$O$52</definedName>
    <definedName name="OSRRefE21_7_0x" localSheetId="47">'Div 3'!$N$162:$O$162</definedName>
    <definedName name="OSRRefE21_7_0x" localSheetId="71">'Div 4'!$N$65:$O$65</definedName>
    <definedName name="OSRRefE21_7_0x" localSheetId="93">'Div 5'!$N$54:$O$54</definedName>
    <definedName name="OSRRefE21_7_0x" localSheetId="62">'Div 6'!$N$85:$O$85</definedName>
    <definedName name="OSRRefE21_7_0x" localSheetId="2">Summary!$N$193:$O$193</definedName>
    <definedName name="OSRRefE21_7_1x" localSheetId="42">'202'!$N$52:$O$52</definedName>
    <definedName name="OSRRefE21_7_1x" localSheetId="54">'308'!$N$93:$O$93</definedName>
    <definedName name="OSRRefE21_7_1x" localSheetId="65">'309'!$N$52:$O$52</definedName>
    <definedName name="OSRRefE21_7_1x" localSheetId="55">'311'!$N$92:$O$92</definedName>
    <definedName name="OSRRefE21_7_1x" localSheetId="58">'315'!$N$113:$O$113</definedName>
    <definedName name="OSRRefE21_7_1x" localSheetId="61">'316'!$N$64:$O$64</definedName>
    <definedName name="OSRRefE21_7_1x" localSheetId="68">'322'!$N$54:$O$54</definedName>
    <definedName name="OSRRefE21_7_1x" localSheetId="57">'331'!$N$114:$O$114</definedName>
    <definedName name="OSRRefE21_7_1x" localSheetId="60">'332'!$N$66:$O$66</definedName>
    <definedName name="OSRRefE21_7_1x" localSheetId="78">'413'!$N$55:$O$55</definedName>
    <definedName name="OSRRefE21_7_2x" localSheetId="42">'202'!$N$53:$O$53</definedName>
    <definedName name="OSRRefE21_7_2x" localSheetId="61">'316'!$N$65:$O$65</definedName>
    <definedName name="OSRRefE21_7_2x" localSheetId="60">'332'!$N$67:$O$67</definedName>
    <definedName name="OSRRefE21_7x_0" localSheetId="41">'201'!$N$50</definedName>
    <definedName name="OSRRefE21_7x_0" localSheetId="42">'202'!$N$51:$N$53</definedName>
    <definedName name="OSRRefE21_7x_0" localSheetId="43">'203'!$N$51</definedName>
    <definedName name="OSRRefE21_7x_0" localSheetId="44">'204'!$N$53</definedName>
    <definedName name="OSRRefE21_7x_0" localSheetId="45">'205'!$N$52</definedName>
    <definedName name="OSRRefE21_7x_0" localSheetId="48">'300'!$N$158</definedName>
    <definedName name="OSRRefE21_7x_0" localSheetId="49">'300 &amp; 317'!$N$182</definedName>
    <definedName name="OSRRefE21_7x_0" localSheetId="50">'301'!$N$54</definedName>
    <definedName name="OSRRefE21_7x_0" localSheetId="51">'306'!$N$50</definedName>
    <definedName name="OSRRefE21_7x_0" localSheetId="53">'307'!$N$70</definedName>
    <definedName name="OSRRefE21_7x_0" localSheetId="54">'308'!$N$92:$N$93</definedName>
    <definedName name="OSRRefE21_7x_0" localSheetId="65">'309'!$N$51:$N$52</definedName>
    <definedName name="OSRRefE21_7x_0" localSheetId="64">'310'!$N$61</definedName>
    <definedName name="OSRRefE21_7x_0" localSheetId="72">'310 &amp; 491'!$N$68</definedName>
    <definedName name="OSRRefE21_7x_0" localSheetId="55">'311'!$N$91:$N$92</definedName>
    <definedName name="OSRRefE21_7x_0" localSheetId="58">'315'!$N$112:$N$113</definedName>
    <definedName name="OSRRefE21_7x_0" localSheetId="61">'316'!$N$63:$N$65</definedName>
    <definedName name="OSRRefE21_7x_0" localSheetId="63">'317'!$N$85</definedName>
    <definedName name="OSRRefE21_7x_0" localSheetId="67">'321'!$N$55</definedName>
    <definedName name="OSRRefE21_7x_0" localSheetId="68">'322'!$N$53:$N$54</definedName>
    <definedName name="OSRRefE21_7x_0" localSheetId="69">'325'!$N$52</definedName>
    <definedName name="OSRRefE21_7x_0" localSheetId="59">'326'!$N$78</definedName>
    <definedName name="OSRRefE21_7x_0" localSheetId="52">'330'!$N$74</definedName>
    <definedName name="OSRRefE21_7x_0" localSheetId="57">'331'!$N$113:$N$114</definedName>
    <definedName name="OSRRefE21_7x_0" localSheetId="60">'332'!$N$65:$N$67</definedName>
    <definedName name="OSRRefE21_7x_0" localSheetId="74">'405'!$N$54</definedName>
    <definedName name="OSRRefE21_7x_0" localSheetId="76">'411'!$N$51</definedName>
    <definedName name="OSRRefE21_7x_0" localSheetId="77">'412'!$N$52</definedName>
    <definedName name="OSRRefE21_7x_0" localSheetId="78">'413'!$N$54:$N$55</definedName>
    <definedName name="OSRRefE21_7x_0" localSheetId="79">'414'!$N$55</definedName>
    <definedName name="OSRRefE21_7x_0" localSheetId="80">'415'!$N$58</definedName>
    <definedName name="OSRRefE21_7x_0" localSheetId="81">'418'!$N$54</definedName>
    <definedName name="OSRRefE21_7x_0" localSheetId="88">'430'!$N$53</definedName>
    <definedName name="OSRRefE21_7x_0" localSheetId="89">'433'!$N$58</definedName>
    <definedName name="OSRRefE21_7x_0" localSheetId="91">'444'!$N$58</definedName>
    <definedName name="OSRRefE21_7x_0" localSheetId="92">'450'!$N$54</definedName>
    <definedName name="OSRRefE21_7x_0" localSheetId="73">'491'!$N$62</definedName>
    <definedName name="OSRRefE21_7x_0" localSheetId="87">'492'!$N$58</definedName>
    <definedName name="OSRRefE21_7x_0" localSheetId="94">'501'!$N$54</definedName>
    <definedName name="OSRRefE21_7x_0" localSheetId="39">'Div 2'!$N$52</definedName>
    <definedName name="OSRRefE21_7x_0" localSheetId="47">'Div 3'!$N$162</definedName>
    <definedName name="OSRRefE21_7x_0" localSheetId="71">'Div 4'!$N$65</definedName>
    <definedName name="OSRRefE21_7x_0" localSheetId="93">'Div 5'!$N$54</definedName>
    <definedName name="OSRRefE21_7x_0" localSheetId="62">'Div 6'!$N$85</definedName>
    <definedName name="OSRRefE21_7x_0" localSheetId="2">Summary!$N$193</definedName>
    <definedName name="OSRRefE21_7x_1" localSheetId="41">'201'!$O$50</definedName>
    <definedName name="OSRRefE21_7x_1" localSheetId="42">'202'!$O$51:$O$53</definedName>
    <definedName name="OSRRefE21_7x_1" localSheetId="43">'203'!$O$51</definedName>
    <definedName name="OSRRefE21_7x_1" localSheetId="44">'204'!$O$53</definedName>
    <definedName name="OSRRefE21_7x_1" localSheetId="45">'205'!$O$52</definedName>
    <definedName name="OSRRefE21_7x_1" localSheetId="48">'300'!$O$158</definedName>
    <definedName name="OSRRefE21_7x_1" localSheetId="49">'300 &amp; 317'!$O$182</definedName>
    <definedName name="OSRRefE21_7x_1" localSheetId="50">'301'!$O$54</definedName>
    <definedName name="OSRRefE21_7x_1" localSheetId="51">'306'!$O$50</definedName>
    <definedName name="OSRRefE21_7x_1" localSheetId="53">'307'!$O$70</definedName>
    <definedName name="OSRRefE21_7x_1" localSheetId="54">'308'!$O$92:$O$93</definedName>
    <definedName name="OSRRefE21_7x_1" localSheetId="65">'309'!$O$51:$O$52</definedName>
    <definedName name="OSRRefE21_7x_1" localSheetId="64">'310'!$O$61</definedName>
    <definedName name="OSRRefE21_7x_1" localSheetId="72">'310 &amp; 491'!$O$68</definedName>
    <definedName name="OSRRefE21_7x_1" localSheetId="55">'311'!$O$91:$O$92</definedName>
    <definedName name="OSRRefE21_7x_1" localSheetId="58">'315'!$O$112:$O$113</definedName>
    <definedName name="OSRRefE21_7x_1" localSheetId="61">'316'!$O$63:$O$65</definedName>
    <definedName name="OSRRefE21_7x_1" localSheetId="63">'317'!$O$85</definedName>
    <definedName name="OSRRefE21_7x_1" localSheetId="67">'321'!$O$55</definedName>
    <definedName name="OSRRefE21_7x_1" localSheetId="68">'322'!$O$53:$O$54</definedName>
    <definedName name="OSRRefE21_7x_1" localSheetId="69">'325'!$O$52</definedName>
    <definedName name="OSRRefE21_7x_1" localSheetId="59">'326'!$O$78</definedName>
    <definedName name="OSRRefE21_7x_1" localSheetId="52">'330'!$O$74</definedName>
    <definedName name="OSRRefE21_7x_1" localSheetId="57">'331'!$O$113:$O$114</definedName>
    <definedName name="OSRRefE21_7x_1" localSheetId="60">'332'!$O$65:$O$67</definedName>
    <definedName name="OSRRefE21_7x_1" localSheetId="74">'405'!$O$54</definedName>
    <definedName name="OSRRefE21_7x_1" localSheetId="76">'411'!$O$51</definedName>
    <definedName name="OSRRefE21_7x_1" localSheetId="77">'412'!$O$52</definedName>
    <definedName name="OSRRefE21_7x_1" localSheetId="78">'413'!$O$54:$O$55</definedName>
    <definedName name="OSRRefE21_7x_1" localSheetId="79">'414'!$O$55</definedName>
    <definedName name="OSRRefE21_7x_1" localSheetId="80">'415'!$O$58</definedName>
    <definedName name="OSRRefE21_7x_1" localSheetId="81">'418'!$O$54</definedName>
    <definedName name="OSRRefE21_7x_1" localSheetId="88">'430'!$O$53</definedName>
    <definedName name="OSRRefE21_7x_1" localSheetId="89">'433'!$O$58</definedName>
    <definedName name="OSRRefE21_7x_1" localSheetId="91">'444'!$O$58</definedName>
    <definedName name="OSRRefE21_7x_1" localSheetId="92">'450'!$O$54</definedName>
    <definedName name="OSRRefE21_7x_1" localSheetId="73">'491'!$O$62</definedName>
    <definedName name="OSRRefE21_7x_1" localSheetId="87">'492'!$O$58</definedName>
    <definedName name="OSRRefE21_7x_1" localSheetId="94">'501'!$O$54</definedName>
    <definedName name="OSRRefE21_7x_1" localSheetId="39">'Div 2'!$O$52</definedName>
    <definedName name="OSRRefE21_7x_1" localSheetId="47">'Div 3'!$O$162</definedName>
    <definedName name="OSRRefE21_7x_1" localSheetId="71">'Div 4'!$O$65</definedName>
    <definedName name="OSRRefE21_7x_1" localSheetId="93">'Div 5'!$O$54</definedName>
    <definedName name="OSRRefE21_7x_1" localSheetId="62">'Div 6'!$O$85</definedName>
    <definedName name="OSRRefE21_7x_1" localSheetId="2">Summary!$O$193</definedName>
    <definedName name="OSRRefE21_8_0x" localSheetId="41">'201'!$N$52:$O$52</definedName>
    <definedName name="OSRRefE21_8_0x" localSheetId="42">'202'!$N$55:$O$55</definedName>
    <definedName name="OSRRefE21_8_0x" localSheetId="43">'203'!$N$53:$O$53</definedName>
    <definedName name="OSRRefE21_8_0x" localSheetId="44">'204'!$N$55:$O$55</definedName>
    <definedName name="OSRRefE21_8_0x" localSheetId="48">'300'!$N$160:$O$160</definedName>
    <definedName name="OSRRefE21_8_0x" localSheetId="49">'300 &amp; 317'!$N$184:$O$184</definedName>
    <definedName name="OSRRefE21_8_0x" localSheetId="50">'301'!$N$56:$O$56</definedName>
    <definedName name="OSRRefE21_8_0x" localSheetId="51">'306'!$N$52:$O$52</definedName>
    <definedName name="OSRRefE21_8_0x" localSheetId="53">'307'!$N$72:$O$72</definedName>
    <definedName name="OSRRefE21_8_0x" localSheetId="54">'308'!$N$95:$O$95</definedName>
    <definedName name="OSRRefE21_8_0x" localSheetId="65">'309'!$N$54:$O$54</definedName>
    <definedName name="OSRRefE21_8_0x" localSheetId="64">'310'!$N$63:$O$63</definedName>
    <definedName name="OSRRefE21_8_0x" localSheetId="72">'310 &amp; 491'!$N$70:$O$70</definedName>
    <definedName name="OSRRefE21_8_0x" localSheetId="55">'311'!$N$94:$O$94</definedName>
    <definedName name="OSRRefE21_8_0x" localSheetId="58">'315'!$N$115:$O$115</definedName>
    <definedName name="OSRRefE21_8_0x" localSheetId="61">'316'!$N$67:$O$67</definedName>
    <definedName name="OSRRefE21_8_0x" localSheetId="63">'317'!$N$87:$O$87</definedName>
    <definedName name="OSRRefE21_8_0x" localSheetId="67">'321'!$N$57:$O$57</definedName>
    <definedName name="OSRRefE21_8_0x" localSheetId="68">'322'!$N$56:$O$56</definedName>
    <definedName name="OSRRefE21_8_0x" localSheetId="69">'325'!$N$54:$O$54</definedName>
    <definedName name="OSRRefE21_8_0x" localSheetId="59">'326'!$N$80:$O$80</definedName>
    <definedName name="OSRRefE21_8_0x" localSheetId="52">'330'!$N$76:$O$76</definedName>
    <definedName name="OSRRefE21_8_0x" localSheetId="57">'331'!$N$116:$O$116</definedName>
    <definedName name="OSRRefE21_8_0x" localSheetId="60">'332'!$N$69:$O$69</definedName>
    <definedName name="OSRRefE21_8_0x" localSheetId="74">'405'!$N$56:$O$56</definedName>
    <definedName name="OSRRefE21_8_0x" localSheetId="76">'411'!$N$53:$O$53</definedName>
    <definedName name="OSRRefE21_8_0x" localSheetId="77">'412'!$N$54:$O$54</definedName>
    <definedName name="OSRRefE21_8_0x" localSheetId="78">'413'!$N$57:$O$57</definedName>
    <definedName name="OSRRefE21_8_0x" localSheetId="79">'414'!$N$57:$O$57</definedName>
    <definedName name="OSRRefE21_8_0x" localSheetId="80">'415'!$N$60:$O$60</definedName>
    <definedName name="OSRRefE21_8_0x" localSheetId="81">'418'!$N$56:$O$56</definedName>
    <definedName name="OSRRefE21_8_0x" localSheetId="89">'433'!$N$60:$O$60</definedName>
    <definedName name="OSRRefE21_8_0x" localSheetId="91">'444'!$N$60:$O$60</definedName>
    <definedName name="OSRRefE21_8_0x" localSheetId="92">'450'!$N$56:$O$56</definedName>
    <definedName name="OSRRefE21_8_0x" localSheetId="73">'491'!$N$64:$O$64</definedName>
    <definedName name="OSRRefE21_8_0x" localSheetId="87">'492'!$N$60:$O$60</definedName>
    <definedName name="OSRRefE21_8_0x" localSheetId="94">'501'!$N$56:$O$56</definedName>
    <definedName name="OSRRefE21_8_0x" localSheetId="39">'Div 2'!$N$54:$O$54</definedName>
    <definedName name="OSRRefE21_8_0x" localSheetId="47">'Div 3'!$N$164:$O$164</definedName>
    <definedName name="OSRRefE21_8_0x" localSheetId="71">'Div 4'!$N$67:$O$67</definedName>
    <definedName name="OSRRefE21_8_0x" localSheetId="93">'Div 5'!$N$56:$O$56</definedName>
    <definedName name="OSRRefE21_8_0x" localSheetId="62">'Div 6'!$N$87:$O$87</definedName>
    <definedName name="OSRRefE21_8_0x" localSheetId="2">Summary!$N$195:$O$195</definedName>
    <definedName name="OSRRefE21_8_1x" localSheetId="43">'203'!$N$54:$O$54</definedName>
    <definedName name="OSRRefE21_8_1x" localSheetId="44">'204'!$N$56:$O$56</definedName>
    <definedName name="OSRRefE21_8_1x" localSheetId="53">'307'!$N$73:$O$73</definedName>
    <definedName name="OSRRefE21_8_1x" localSheetId="65">'309'!$N$55:$O$55</definedName>
    <definedName name="OSRRefE21_8_1x" localSheetId="72">'310 &amp; 491'!$N$71:$O$71</definedName>
    <definedName name="OSRRefE21_8_1x" localSheetId="67">'321'!$N$58:$O$58</definedName>
    <definedName name="OSRRefE21_8_1x" localSheetId="68">'322'!$N$57:$O$57</definedName>
    <definedName name="OSRRefE21_8_1x" localSheetId="52">'330'!$N$77:$O$77</definedName>
    <definedName name="OSRRefE21_8_1x" localSheetId="77">'412'!$N$55:$O$55</definedName>
    <definedName name="OSRRefE21_8_1x" localSheetId="78">'413'!$N$58:$O$58</definedName>
    <definedName name="OSRRefE21_8_1x" localSheetId="79">'414'!$N$58:$O$58</definedName>
    <definedName name="OSRRefE21_8_1x" localSheetId="81">'418'!$N$57:$O$57</definedName>
    <definedName name="OSRRefE21_8_2x" localSheetId="43">'203'!$N$55:$O$55</definedName>
    <definedName name="OSRRefE21_8_2x" localSheetId="68">'322'!$N$58:$O$58</definedName>
    <definedName name="OSRRefE21_8x_0" localSheetId="41">'201'!$N$52</definedName>
    <definedName name="OSRRefE21_8x_0" localSheetId="42">'202'!$N$55</definedName>
    <definedName name="OSRRefE21_8x_0" localSheetId="43">'203'!$N$53:$N$55</definedName>
    <definedName name="OSRRefE21_8x_0" localSheetId="44">'204'!$N$55:$N$56</definedName>
    <definedName name="OSRRefE21_8x_0" localSheetId="48">'300'!$N$160</definedName>
    <definedName name="OSRRefE21_8x_0" localSheetId="49">'300 &amp; 317'!$N$184</definedName>
    <definedName name="OSRRefE21_8x_0" localSheetId="50">'301'!$N$56</definedName>
    <definedName name="OSRRefE21_8x_0" localSheetId="51">'306'!$N$52</definedName>
    <definedName name="OSRRefE21_8x_0" localSheetId="53">'307'!$N$72:$N$73</definedName>
    <definedName name="OSRRefE21_8x_0" localSheetId="54">'308'!$N$95</definedName>
    <definedName name="OSRRefE21_8x_0" localSheetId="65">'309'!$N$54:$N$55</definedName>
    <definedName name="OSRRefE21_8x_0" localSheetId="64">'310'!$N$63</definedName>
    <definedName name="OSRRefE21_8x_0" localSheetId="72">'310 &amp; 491'!$N$70:$N$71</definedName>
    <definedName name="OSRRefE21_8x_0" localSheetId="55">'311'!$N$94</definedName>
    <definedName name="OSRRefE21_8x_0" localSheetId="58">'315'!$N$115</definedName>
    <definedName name="OSRRefE21_8x_0" localSheetId="61">'316'!$N$67</definedName>
    <definedName name="OSRRefE21_8x_0" localSheetId="63">'317'!$N$87</definedName>
    <definedName name="OSRRefE21_8x_0" localSheetId="67">'321'!$N$57:$N$58</definedName>
    <definedName name="OSRRefE21_8x_0" localSheetId="68">'322'!$N$56:$N$58</definedName>
    <definedName name="OSRRefE21_8x_0" localSheetId="69">'325'!$N$54</definedName>
    <definedName name="OSRRefE21_8x_0" localSheetId="59">'326'!$N$80</definedName>
    <definedName name="OSRRefE21_8x_0" localSheetId="52">'330'!$N$76:$N$77</definedName>
    <definedName name="OSRRefE21_8x_0" localSheetId="57">'331'!$N$116</definedName>
    <definedName name="OSRRefE21_8x_0" localSheetId="60">'332'!$N$69</definedName>
    <definedName name="OSRRefE21_8x_0" localSheetId="74">'405'!$N$56</definedName>
    <definedName name="OSRRefE21_8x_0" localSheetId="76">'411'!$N$53</definedName>
    <definedName name="OSRRefE21_8x_0" localSheetId="77">'412'!$N$54:$N$55</definedName>
    <definedName name="OSRRefE21_8x_0" localSheetId="78">'413'!$N$57:$N$58</definedName>
    <definedName name="OSRRefE21_8x_0" localSheetId="79">'414'!$N$57:$N$58</definedName>
    <definedName name="OSRRefE21_8x_0" localSheetId="80">'415'!$N$60</definedName>
    <definedName name="OSRRefE21_8x_0" localSheetId="81">'418'!$N$56:$N$57</definedName>
    <definedName name="OSRRefE21_8x_0" localSheetId="89">'433'!$N$60</definedName>
    <definedName name="OSRRefE21_8x_0" localSheetId="91">'444'!$N$60</definedName>
    <definedName name="OSRRefE21_8x_0" localSheetId="92">'450'!$N$56</definedName>
    <definedName name="OSRRefE21_8x_0" localSheetId="73">'491'!$N$64</definedName>
    <definedName name="OSRRefE21_8x_0" localSheetId="87">'492'!$N$60</definedName>
    <definedName name="OSRRefE21_8x_0" localSheetId="94">'501'!$N$56</definedName>
    <definedName name="OSRRefE21_8x_0" localSheetId="39">'Div 2'!$N$54</definedName>
    <definedName name="OSRRefE21_8x_0" localSheetId="47">'Div 3'!$N$164</definedName>
    <definedName name="OSRRefE21_8x_0" localSheetId="71">'Div 4'!$N$67</definedName>
    <definedName name="OSRRefE21_8x_0" localSheetId="93">'Div 5'!$N$56</definedName>
    <definedName name="OSRRefE21_8x_0" localSheetId="62">'Div 6'!$N$87</definedName>
    <definedName name="OSRRefE21_8x_0" localSheetId="2">Summary!$N$195</definedName>
    <definedName name="OSRRefE21_8x_1" localSheetId="41">'201'!$O$52</definedName>
    <definedName name="OSRRefE21_8x_1" localSheetId="42">'202'!$O$55</definedName>
    <definedName name="OSRRefE21_8x_1" localSheetId="43">'203'!$O$53:$O$55</definedName>
    <definedName name="OSRRefE21_8x_1" localSheetId="44">'204'!$O$55:$O$56</definedName>
    <definedName name="OSRRefE21_8x_1" localSheetId="48">'300'!$O$160</definedName>
    <definedName name="OSRRefE21_8x_1" localSheetId="49">'300 &amp; 317'!$O$184</definedName>
    <definedName name="OSRRefE21_8x_1" localSheetId="50">'301'!$O$56</definedName>
    <definedName name="OSRRefE21_8x_1" localSheetId="51">'306'!$O$52</definedName>
    <definedName name="OSRRefE21_8x_1" localSheetId="53">'307'!$O$72:$O$73</definedName>
    <definedName name="OSRRefE21_8x_1" localSheetId="54">'308'!$O$95</definedName>
    <definedName name="OSRRefE21_8x_1" localSheetId="65">'309'!$O$54:$O$55</definedName>
    <definedName name="OSRRefE21_8x_1" localSheetId="64">'310'!$O$63</definedName>
    <definedName name="OSRRefE21_8x_1" localSheetId="72">'310 &amp; 491'!$O$70:$O$71</definedName>
    <definedName name="OSRRefE21_8x_1" localSheetId="55">'311'!$O$94</definedName>
    <definedName name="OSRRefE21_8x_1" localSheetId="58">'315'!$O$115</definedName>
    <definedName name="OSRRefE21_8x_1" localSheetId="61">'316'!$O$67</definedName>
    <definedName name="OSRRefE21_8x_1" localSheetId="63">'317'!$O$87</definedName>
    <definedName name="OSRRefE21_8x_1" localSheetId="67">'321'!$O$57:$O$58</definedName>
    <definedName name="OSRRefE21_8x_1" localSheetId="68">'322'!$O$56:$O$58</definedName>
    <definedName name="OSRRefE21_8x_1" localSheetId="69">'325'!$O$54</definedName>
    <definedName name="OSRRefE21_8x_1" localSheetId="59">'326'!$O$80</definedName>
    <definedName name="OSRRefE21_8x_1" localSheetId="52">'330'!$O$76:$O$77</definedName>
    <definedName name="OSRRefE21_8x_1" localSheetId="57">'331'!$O$116</definedName>
    <definedName name="OSRRefE21_8x_1" localSheetId="60">'332'!$O$69</definedName>
    <definedName name="OSRRefE21_8x_1" localSheetId="74">'405'!$O$56</definedName>
    <definedName name="OSRRefE21_8x_1" localSheetId="76">'411'!$O$53</definedName>
    <definedName name="OSRRefE21_8x_1" localSheetId="77">'412'!$O$54:$O$55</definedName>
    <definedName name="OSRRefE21_8x_1" localSheetId="78">'413'!$O$57:$O$58</definedName>
    <definedName name="OSRRefE21_8x_1" localSheetId="79">'414'!$O$57:$O$58</definedName>
    <definedName name="OSRRefE21_8x_1" localSheetId="80">'415'!$O$60</definedName>
    <definedName name="OSRRefE21_8x_1" localSheetId="81">'418'!$O$56:$O$57</definedName>
    <definedName name="OSRRefE21_8x_1" localSheetId="89">'433'!$O$60</definedName>
    <definedName name="OSRRefE21_8x_1" localSheetId="91">'444'!$O$60</definedName>
    <definedName name="OSRRefE21_8x_1" localSheetId="92">'450'!$O$56</definedName>
    <definedName name="OSRRefE21_8x_1" localSheetId="73">'491'!$O$64</definedName>
    <definedName name="OSRRefE21_8x_1" localSheetId="87">'492'!$O$60</definedName>
    <definedName name="OSRRefE21_8x_1" localSheetId="94">'501'!$O$56</definedName>
    <definedName name="OSRRefE21_8x_1" localSheetId="39">'Div 2'!$O$54</definedName>
    <definedName name="OSRRefE21_8x_1" localSheetId="47">'Div 3'!$O$164</definedName>
    <definedName name="OSRRefE21_8x_1" localSheetId="71">'Div 4'!$O$67</definedName>
    <definedName name="OSRRefE21_8x_1" localSheetId="93">'Div 5'!$O$56</definedName>
    <definedName name="OSRRefE21_8x_1" localSheetId="62">'Div 6'!$O$87</definedName>
    <definedName name="OSRRefE21_8x_1" localSheetId="2">Summary!$O$195</definedName>
    <definedName name="OSRRefE21_9_0x" localSheetId="41">'201'!$N$54:$O$54</definedName>
    <definedName name="OSRRefE21_9_0x" localSheetId="42">'202'!$N$57:$O$57</definedName>
    <definedName name="OSRRefE21_9_0x" localSheetId="43">'203'!$N$57:$O$57</definedName>
    <definedName name="OSRRefE21_9_0x" localSheetId="44">'204'!$N$58:$O$58</definedName>
    <definedName name="OSRRefE21_9_0x" localSheetId="48">'300'!$N$162:$O$162</definedName>
    <definedName name="OSRRefE21_9_0x" localSheetId="49">'300 &amp; 317'!$N$186:$O$186</definedName>
    <definedName name="OSRRefE21_9_0x" localSheetId="50">'301'!$N$58:$O$58</definedName>
    <definedName name="OSRRefE21_9_0x" localSheetId="53">'307'!$N$75:$O$75</definedName>
    <definedName name="OSRRefE21_9_0x" localSheetId="54">'308'!$N$97:$O$97</definedName>
    <definedName name="OSRRefE21_9_0x" localSheetId="65">'309'!$N$57:$O$57</definedName>
    <definedName name="OSRRefE21_9_0x" localSheetId="64">'310'!$N$65:$O$65</definedName>
    <definedName name="OSRRefE21_9_0x" localSheetId="72">'310 &amp; 491'!$N$73:$O$73</definedName>
    <definedName name="OSRRefE21_9_0x" localSheetId="55">'311'!$N$96:$O$96</definedName>
    <definedName name="OSRRefE21_9_0x" localSheetId="58">'315'!$N$117:$O$117</definedName>
    <definedName name="OSRRefE21_9_0x" localSheetId="61">'316'!$N$69:$O$69</definedName>
    <definedName name="OSRRefE21_9_0x" localSheetId="63">'317'!$N$89:$O$89</definedName>
    <definedName name="OSRRefE21_9_0x" localSheetId="67">'321'!$N$60:$O$60</definedName>
    <definedName name="OSRRefE21_9_0x" localSheetId="68">'322'!$N$60:$O$60</definedName>
    <definedName name="OSRRefE21_9_0x" localSheetId="69">'325'!$N$56:$O$56</definedName>
    <definedName name="OSRRefE21_9_0x" localSheetId="59">'326'!$N$82:$O$82</definedName>
    <definedName name="OSRRefE21_9_0x" localSheetId="52">'330'!$N$79:$O$79</definedName>
    <definedName name="OSRRefE21_9_0x" localSheetId="57">'331'!$N$118:$O$118</definedName>
    <definedName name="OSRRefE21_9_0x" localSheetId="60">'332'!$N$71:$O$71</definedName>
    <definedName name="OSRRefE21_9_0x" localSheetId="74">'405'!$N$58:$O$58</definedName>
    <definedName name="OSRRefE21_9_0x" localSheetId="76">'411'!$N$55:$O$55</definedName>
    <definedName name="OSRRefE21_9_0x" localSheetId="77">'412'!$N$57:$O$57</definedName>
    <definedName name="OSRRefE21_9_0x" localSheetId="78">'413'!$N$60:$O$60</definedName>
    <definedName name="OSRRefE21_9_0x" localSheetId="79">'414'!$N$60:$O$60</definedName>
    <definedName name="OSRRefE21_9_0x" localSheetId="80">'415'!$N$62:$O$62</definedName>
    <definedName name="OSRRefE21_9_0x" localSheetId="81">'418'!$N$59:$O$59</definedName>
    <definedName name="OSRRefE21_9_0x" localSheetId="89">'433'!$N$62:$O$62</definedName>
    <definedName name="OSRRefE21_9_0x" localSheetId="91">'444'!$N$62:$O$62</definedName>
    <definedName name="OSRRefE21_9_0x" localSheetId="92">'450'!$N$58:$O$58</definedName>
    <definedName name="OSRRefE21_9_0x" localSheetId="73">'491'!$N$66:$O$66</definedName>
    <definedName name="OSRRefE21_9_0x" localSheetId="87">'492'!$N$62:$O$62</definedName>
    <definedName name="OSRRefE21_9_0x" localSheetId="94">'501'!$N$58:$O$58</definedName>
    <definedName name="OSRRefE21_9_0x" localSheetId="39">'Div 2'!$N$56:$O$56</definedName>
    <definedName name="OSRRefE21_9_0x" localSheetId="47">'Div 3'!$N$166:$O$166</definedName>
    <definedName name="OSRRefE21_9_0x" localSheetId="71">'Div 4'!$N$69:$O$69</definedName>
    <definedName name="OSRRefE21_9_0x" localSheetId="93">'Div 5'!$N$58:$O$58</definedName>
    <definedName name="OSRRefE21_9_0x" localSheetId="62">'Div 6'!$N$89:$O$89</definedName>
    <definedName name="OSRRefE21_9_0x" localSheetId="2">Summary!$N$197:$O$197</definedName>
    <definedName name="OSRRefE21_9_1x" localSheetId="42">'202'!$N$58:$O$58</definedName>
    <definedName name="OSRRefE21_9_1x" localSheetId="43">'203'!$N$58:$O$58</definedName>
    <definedName name="OSRRefE21_9_1x" localSheetId="53">'307'!$N$76:$O$76</definedName>
    <definedName name="OSRRefE21_9_1x" localSheetId="54">'308'!$N$98:$O$98</definedName>
    <definedName name="OSRRefE21_9_1x" localSheetId="65">'309'!$N$58:$O$58</definedName>
    <definedName name="OSRRefE21_9_1x" localSheetId="55">'311'!$N$97:$O$97</definedName>
    <definedName name="OSRRefE21_9_1x" localSheetId="58">'315'!$N$118:$O$118</definedName>
    <definedName name="OSRRefE21_9_1x" localSheetId="61">'316'!$N$70:$O$70</definedName>
    <definedName name="OSRRefE21_9_1x" localSheetId="63">'317'!$N$90:$O$90</definedName>
    <definedName name="OSRRefE21_9_1x" localSheetId="67">'321'!$N$61:$O$61</definedName>
    <definedName name="OSRRefE21_9_1x" localSheetId="52">'330'!$N$80:$O$80</definedName>
    <definedName name="OSRRefE21_9_1x" localSheetId="60">'332'!$N$72:$O$72</definedName>
    <definedName name="OSRRefE21_9_1x" localSheetId="74">'405'!$N$59:$O$59</definedName>
    <definedName name="OSRRefE21_9_1x" localSheetId="76">'411'!$N$56:$O$56</definedName>
    <definedName name="OSRRefE21_9_1x" localSheetId="78">'413'!$N$61:$O$61</definedName>
    <definedName name="OSRRefE21_9_1x" localSheetId="81">'418'!$N$60:$O$60</definedName>
    <definedName name="OSRRefE21_9_1x" localSheetId="94">'501'!$N$59:$O$59</definedName>
    <definedName name="OSRRefE21_9_1x" localSheetId="39">'Div 2'!$N$57:$O$57</definedName>
    <definedName name="OSRRefE21_9_1x" localSheetId="93">'Div 5'!$N$59:$O$59</definedName>
    <definedName name="OSRRefE21_9_1x" localSheetId="62">'Div 6'!$N$90:$O$90</definedName>
    <definedName name="OSRRefE21_9_2x" localSheetId="54">'308'!$N$99:$O$99</definedName>
    <definedName name="OSRRefE21_9_2x" localSheetId="55">'311'!$N$98:$O$98</definedName>
    <definedName name="OSRRefE21_9_2x" localSheetId="61">'316'!$N$71:$O$71</definedName>
    <definedName name="OSRRefE21_9_2x" localSheetId="60">'332'!$N$73:$O$73</definedName>
    <definedName name="OSRRefE21_9_2x" localSheetId="76">'411'!$N$57:$O$57</definedName>
    <definedName name="OSRRefE21_9_2x" localSheetId="94">'501'!$N$60:$O$60</definedName>
    <definedName name="OSRRefE21_9_2x" localSheetId="93">'Div 5'!$N$60:$O$60</definedName>
    <definedName name="OSRRefE21_9_3x" localSheetId="61">'316'!$N$72:$O$72</definedName>
    <definedName name="OSRRefE21_9_3x" localSheetId="60">'332'!$N$74:$O$74</definedName>
    <definedName name="OSRRefE21_9_3x" localSheetId="76">'411'!$N$58:$O$58</definedName>
    <definedName name="OSRRefE21_9_4x" localSheetId="61">'316'!$N$73:$O$73</definedName>
    <definedName name="OSRRefE21_9_4x" localSheetId="60">'332'!$N$75:$O$75</definedName>
    <definedName name="OSRRefE21_9x_0" localSheetId="41">'201'!$N$54</definedName>
    <definedName name="OSRRefE21_9x_0" localSheetId="42">'202'!$N$57:$N$58</definedName>
    <definedName name="OSRRefE21_9x_0" localSheetId="43">'203'!$N$57:$N$58</definedName>
    <definedName name="OSRRefE21_9x_0" localSheetId="44">'204'!$N$58</definedName>
    <definedName name="OSRRefE21_9x_0" localSheetId="48">'300'!$N$162</definedName>
    <definedName name="OSRRefE21_9x_0" localSheetId="49">'300 &amp; 317'!$N$186</definedName>
    <definedName name="OSRRefE21_9x_0" localSheetId="50">'301'!$N$58</definedName>
    <definedName name="OSRRefE21_9x_0" localSheetId="53">'307'!$N$75:$N$76</definedName>
    <definedName name="OSRRefE21_9x_0" localSheetId="54">'308'!$N$97:$N$99</definedName>
    <definedName name="OSRRefE21_9x_0" localSheetId="65">'309'!$N$57:$N$58</definedName>
    <definedName name="OSRRefE21_9x_0" localSheetId="64">'310'!$N$65</definedName>
    <definedName name="OSRRefE21_9x_0" localSheetId="72">'310 &amp; 491'!$N$73</definedName>
    <definedName name="OSRRefE21_9x_0" localSheetId="55">'311'!$N$96:$N$98</definedName>
    <definedName name="OSRRefE21_9x_0" localSheetId="58">'315'!$N$117:$N$118</definedName>
    <definedName name="OSRRefE21_9x_0" localSheetId="61">'316'!$N$69:$N$73</definedName>
    <definedName name="OSRRefE21_9x_0" localSheetId="63">'317'!$N$89:$N$90</definedName>
    <definedName name="OSRRefE21_9x_0" localSheetId="67">'321'!$N$60:$N$61</definedName>
    <definedName name="OSRRefE21_9x_0" localSheetId="68">'322'!$N$60</definedName>
    <definedName name="OSRRefE21_9x_0" localSheetId="69">'325'!$N$56</definedName>
    <definedName name="OSRRefE21_9x_0" localSheetId="59">'326'!$N$82</definedName>
    <definedName name="OSRRefE21_9x_0" localSheetId="52">'330'!$N$79:$N$80</definedName>
    <definedName name="OSRRefE21_9x_0" localSheetId="57">'331'!$N$118</definedName>
    <definedName name="OSRRefE21_9x_0" localSheetId="60">'332'!$N$71:$N$75</definedName>
    <definedName name="OSRRefE21_9x_0" localSheetId="74">'405'!$N$58:$N$59</definedName>
    <definedName name="OSRRefE21_9x_0" localSheetId="76">'411'!$N$55:$N$58</definedName>
    <definedName name="OSRRefE21_9x_0" localSheetId="77">'412'!$N$57</definedName>
    <definedName name="OSRRefE21_9x_0" localSheetId="78">'413'!$N$60:$N$61</definedName>
    <definedName name="OSRRefE21_9x_0" localSheetId="79">'414'!$N$60</definedName>
    <definedName name="OSRRefE21_9x_0" localSheetId="80">'415'!$N$62</definedName>
    <definedName name="OSRRefE21_9x_0" localSheetId="81">'418'!$N$59:$N$60</definedName>
    <definedName name="OSRRefE21_9x_0" localSheetId="89">'433'!$N$62</definedName>
    <definedName name="OSRRefE21_9x_0" localSheetId="91">'444'!$N$62</definedName>
    <definedName name="OSRRefE21_9x_0" localSheetId="92">'450'!$N$58</definedName>
    <definedName name="OSRRefE21_9x_0" localSheetId="73">'491'!$N$66</definedName>
    <definedName name="OSRRefE21_9x_0" localSheetId="87">'492'!$N$62</definedName>
    <definedName name="OSRRefE21_9x_0" localSheetId="94">'501'!$N$58:$N$60</definedName>
    <definedName name="OSRRefE21_9x_0" localSheetId="39">'Div 2'!$N$56:$N$57</definedName>
    <definedName name="OSRRefE21_9x_0" localSheetId="47">'Div 3'!$N$166</definedName>
    <definedName name="OSRRefE21_9x_0" localSheetId="71">'Div 4'!$N$69</definedName>
    <definedName name="OSRRefE21_9x_0" localSheetId="93">'Div 5'!$N$58:$N$60</definedName>
    <definedName name="OSRRefE21_9x_0" localSheetId="62">'Div 6'!$N$89:$N$90</definedName>
    <definedName name="OSRRefE21_9x_0" localSheetId="2">Summary!$N$197</definedName>
    <definedName name="OSRRefE21_9x_1" localSheetId="41">'201'!$O$54</definedName>
    <definedName name="OSRRefE21_9x_1" localSheetId="42">'202'!$O$57:$O$58</definedName>
    <definedName name="OSRRefE21_9x_1" localSheetId="43">'203'!$O$57:$O$58</definedName>
    <definedName name="OSRRefE21_9x_1" localSheetId="44">'204'!$O$58</definedName>
    <definedName name="OSRRefE21_9x_1" localSheetId="48">'300'!$O$162</definedName>
    <definedName name="OSRRefE21_9x_1" localSheetId="49">'300 &amp; 317'!$O$186</definedName>
    <definedName name="OSRRefE21_9x_1" localSheetId="50">'301'!$O$58</definedName>
    <definedName name="OSRRefE21_9x_1" localSheetId="53">'307'!$O$75:$O$76</definedName>
    <definedName name="OSRRefE21_9x_1" localSheetId="54">'308'!$O$97:$O$99</definedName>
    <definedName name="OSRRefE21_9x_1" localSheetId="65">'309'!$O$57:$O$58</definedName>
    <definedName name="OSRRefE21_9x_1" localSheetId="64">'310'!$O$65</definedName>
    <definedName name="OSRRefE21_9x_1" localSheetId="72">'310 &amp; 491'!$O$73</definedName>
    <definedName name="OSRRefE21_9x_1" localSheetId="55">'311'!$O$96:$O$98</definedName>
    <definedName name="OSRRefE21_9x_1" localSheetId="58">'315'!$O$117:$O$118</definedName>
    <definedName name="OSRRefE21_9x_1" localSheetId="61">'316'!$O$69:$O$73</definedName>
    <definedName name="OSRRefE21_9x_1" localSheetId="63">'317'!$O$89:$O$90</definedName>
    <definedName name="OSRRefE21_9x_1" localSheetId="67">'321'!$O$60:$O$61</definedName>
    <definedName name="OSRRefE21_9x_1" localSheetId="68">'322'!$O$60</definedName>
    <definedName name="OSRRefE21_9x_1" localSheetId="69">'325'!$O$56</definedName>
    <definedName name="OSRRefE21_9x_1" localSheetId="59">'326'!$O$82</definedName>
    <definedName name="OSRRefE21_9x_1" localSheetId="52">'330'!$O$79:$O$80</definedName>
    <definedName name="OSRRefE21_9x_1" localSheetId="57">'331'!$O$118</definedName>
    <definedName name="OSRRefE21_9x_1" localSheetId="60">'332'!$O$71:$O$75</definedName>
    <definedName name="OSRRefE21_9x_1" localSheetId="74">'405'!$O$58:$O$59</definedName>
    <definedName name="OSRRefE21_9x_1" localSheetId="76">'411'!$O$55:$O$58</definedName>
    <definedName name="OSRRefE21_9x_1" localSheetId="77">'412'!$O$57</definedName>
    <definedName name="OSRRefE21_9x_1" localSheetId="78">'413'!$O$60:$O$61</definedName>
    <definedName name="OSRRefE21_9x_1" localSheetId="79">'414'!$O$60</definedName>
    <definedName name="OSRRefE21_9x_1" localSheetId="80">'415'!$O$62</definedName>
    <definedName name="OSRRefE21_9x_1" localSheetId="81">'418'!$O$59:$O$60</definedName>
    <definedName name="OSRRefE21_9x_1" localSheetId="89">'433'!$O$62</definedName>
    <definedName name="OSRRefE21_9x_1" localSheetId="91">'444'!$O$62</definedName>
    <definedName name="OSRRefE21_9x_1" localSheetId="92">'450'!$O$58</definedName>
    <definedName name="OSRRefE21_9x_1" localSheetId="73">'491'!$O$66</definedName>
    <definedName name="OSRRefE21_9x_1" localSheetId="87">'492'!$O$62</definedName>
    <definedName name="OSRRefE21_9x_1" localSheetId="94">'501'!$O$58:$O$60</definedName>
    <definedName name="OSRRefE21_9x_1" localSheetId="39">'Div 2'!$O$56:$O$57</definedName>
    <definedName name="OSRRefE21_9x_1" localSheetId="47">'Div 3'!$O$166</definedName>
    <definedName name="OSRRefE21_9x_1" localSheetId="71">'Div 4'!$O$69</definedName>
    <definedName name="OSRRefE21_9x_1" localSheetId="93">'Div 5'!$O$58:$O$60</definedName>
    <definedName name="OSRRefE21_9x_1" localSheetId="62">'Div 6'!$O$89:$O$90</definedName>
    <definedName name="OSRRefE21_9x_1" localSheetId="2">Summary!$O$197</definedName>
    <definedName name="OSRRefE23_0x" localSheetId="38">'100'!$N$19:$O$19</definedName>
    <definedName name="OSRRefE23_0x" localSheetId="40">'200'!$N$28:$O$28</definedName>
    <definedName name="OSRRefE23_0x" localSheetId="41">'201'!$N$72:$O$72</definedName>
    <definedName name="OSRRefE23_0x" localSheetId="42">'202'!$N$66:$O$66</definedName>
    <definedName name="OSRRefE23_0x" localSheetId="43">'203'!$N$72:$O$72</definedName>
    <definedName name="OSRRefE23_0x" localSheetId="44">'204'!$N$62:$O$62</definedName>
    <definedName name="OSRRefE23_0x" localSheetId="45">'205'!$N$54:$O$54</definedName>
    <definedName name="OSRRefE23_0x" localSheetId="46">'206'!$N$50:$O$50</definedName>
    <definedName name="OSRRefE23_0x" localSheetId="48">'300'!$N$218:$O$218</definedName>
    <definedName name="OSRRefE23_0x" localSheetId="49">'300 &amp; 317'!$N$242:$O$242</definedName>
    <definedName name="OSRRefE23_0x" localSheetId="50">'301'!$N$98:$O$98</definedName>
    <definedName name="OSRRefE23_0x" localSheetId="51">'306'!$N$54:$O$54</definedName>
    <definedName name="OSRRefE23_0x" localSheetId="53">'307'!$N$87:$O$87</definedName>
    <definedName name="OSRRefE23_0x" localSheetId="54">'308'!$N$113:$O$113</definedName>
    <definedName name="OSRRefE23_0x" localSheetId="65">'309'!$N$62:$O$62</definedName>
    <definedName name="OSRRefE23_0x" localSheetId="64">'310'!$N$92:$O$92</definedName>
    <definedName name="OSRRefE23_0x" localSheetId="72">'310 &amp; 491'!$N$119:$O$119</definedName>
    <definedName name="OSRRefE23_0x" localSheetId="55">'311'!$N$112:$O$112</definedName>
    <definedName name="OSRRefE23_0x" localSheetId="66">'313'!$N$55:$O$55</definedName>
    <definedName name="OSRRefE23_0x" localSheetId="58">'315'!$N$144:$O$144</definedName>
    <definedName name="OSRRefE23_0x" localSheetId="61">'316'!$N$79:$O$79</definedName>
    <definedName name="OSRRefE23_0x" localSheetId="63">'317'!$N$103:$O$103</definedName>
    <definedName name="OSRRefE23_0x" localSheetId="67">'321'!$N$68:$O$68</definedName>
    <definedName name="OSRRefE23_0x" localSheetId="68">'322'!$N$64:$O$64</definedName>
    <definedName name="OSRRefE23_0x" localSheetId="56">'324'!$N$46:$O$46</definedName>
    <definedName name="OSRRefE23_0x" localSheetId="69">'325'!$N$75:$O$75</definedName>
    <definedName name="OSRRefE23_0x" localSheetId="59">'326'!$N$116:$O$116</definedName>
    <definedName name="OSRRefE23_0x" localSheetId="70">'327'!$N$27:$O$27</definedName>
    <definedName name="OSRRefE23_0x" localSheetId="52">'330'!$N$91:$O$91</definedName>
    <definedName name="OSRRefE23_0x" localSheetId="57">'331'!$N$161:$O$161</definedName>
    <definedName name="OSRRefE23_0x" localSheetId="60">'332'!$N$81:$O$81</definedName>
    <definedName name="OSRRefE23_0x" localSheetId="74">'405'!$N$83:$O$83</definedName>
    <definedName name="OSRRefE23_0x" localSheetId="75">'406'!$N$29:$O$29</definedName>
    <definedName name="OSRRefE23_0x" localSheetId="76">'411'!$N$80:$O$80</definedName>
    <definedName name="OSRRefE23_0x" localSheetId="77">'412'!$N$74:$O$74</definedName>
    <definedName name="OSRRefE23_0x" localSheetId="78">'413'!$N$63:$O$63</definedName>
    <definedName name="OSRRefE23_0x" localSheetId="79">'414'!$N$72:$O$72</definedName>
    <definedName name="OSRRefE23_0x" localSheetId="80">'415'!$N$90:$O$90</definedName>
    <definedName name="OSRRefE23_0x" localSheetId="81">'418'!$N$76:$O$76</definedName>
    <definedName name="OSRRefE23_0x" localSheetId="82">'420'!$N$25:$O$25</definedName>
    <definedName name="OSRRefE23_0x" localSheetId="83">'423'!$N$50:$O$50</definedName>
    <definedName name="OSRRefE23_0x" localSheetId="84">'424'!$N$27:$O$27</definedName>
    <definedName name="OSRRefE23_0x" localSheetId="85">'425'!$N$37:$O$37</definedName>
    <definedName name="OSRRefE23_0x" localSheetId="88">'430'!$N$55:$O$55</definedName>
    <definedName name="OSRRefE23_0x" localSheetId="89">'433'!$N$86:$O$86</definedName>
    <definedName name="OSRRefE23_0x" localSheetId="90">'435'!$N$21:$O$21</definedName>
    <definedName name="OSRRefE23_0x" localSheetId="91">'444'!$N$92:$O$92</definedName>
    <definedName name="OSRRefE23_0x" localSheetId="92">'450'!$N$81:$O$81</definedName>
    <definedName name="OSRRefE23_0x" localSheetId="86">'455'!$N$19:$O$19</definedName>
    <definedName name="OSRRefE23_0x" localSheetId="73">'491'!$N$112:$O$112</definedName>
    <definedName name="OSRRefE23_0x" localSheetId="87">'492'!$N$98:$O$98</definedName>
    <definedName name="OSRRefE23_0x" localSheetId="94">'501'!$N$67:$O$67</definedName>
    <definedName name="OSRRefE23_0x" localSheetId="37">'Div 1'!$N$19:$O$19</definedName>
    <definedName name="OSRRefE23_0x" localSheetId="39">'Div 2'!$N$92:$O$92</definedName>
    <definedName name="OSRRefE23_0x" localSheetId="47">'Div 3'!$N$224:$O$224</definedName>
    <definedName name="OSRRefE23_0x" localSheetId="71">'Div 4'!$N$121:$O$121</definedName>
    <definedName name="OSRRefE23_0x" localSheetId="93">'Div 5'!$N$67:$O$67</definedName>
    <definedName name="OSRRefE23_0x" localSheetId="62">'Div 6'!$N$103:$O$103</definedName>
    <definedName name="OSRRefE23_0x" localSheetId="2">Summary!$N$260:$O$260</definedName>
    <definedName name="OSRRefE28_0x" localSheetId="38">'100'!$N$24:$O$24</definedName>
    <definedName name="OSRRefE28_0x" localSheetId="40">'200'!$N$33:$O$33</definedName>
    <definedName name="OSRRefE28_0x" localSheetId="41">'201'!$N$77:$O$77</definedName>
    <definedName name="OSRRefE28_0x" localSheetId="42">'202'!$N$71:$O$71</definedName>
    <definedName name="OSRRefE28_0x" localSheetId="43">'203'!$N$77:$O$77</definedName>
    <definedName name="OSRRefE28_0x" localSheetId="44">'204'!$N$67:$O$67</definedName>
    <definedName name="OSRRefE28_0x" localSheetId="45">'205'!$N$59:$O$59</definedName>
    <definedName name="OSRRefE28_0x" localSheetId="46">'206'!$N$55:$O$55</definedName>
    <definedName name="OSRRefE28_0x" localSheetId="48">'300'!$N$223:$O$223</definedName>
    <definedName name="OSRRefE28_0x" localSheetId="49">'300 &amp; 317'!$N$247:$O$247</definedName>
    <definedName name="OSRRefE28_0x" localSheetId="50">'301'!$N$103:$O$103</definedName>
    <definedName name="OSRRefE28_0x" localSheetId="51">'306'!$N$59:$O$59</definedName>
    <definedName name="OSRRefE28_0x" localSheetId="53">'307'!$N$92:$O$92</definedName>
    <definedName name="OSRRefE28_0x" localSheetId="54">'308'!$N$118:$O$118</definedName>
    <definedName name="OSRRefE28_0x" localSheetId="65">'309'!$N$67:$O$67</definedName>
    <definedName name="OSRRefE28_0x" localSheetId="64">'310'!$N$97:$O$97</definedName>
    <definedName name="OSRRefE28_0x" localSheetId="72">'310 &amp; 491'!$N$124:$O$124</definedName>
    <definedName name="OSRRefE28_0x" localSheetId="55">'311'!$N$117:$O$117</definedName>
    <definedName name="OSRRefE28_0x" localSheetId="66">'313'!$N$60:$O$60</definedName>
    <definedName name="OSRRefE28_0x" localSheetId="58">'315'!$N$149:$O$149</definedName>
    <definedName name="OSRRefE28_0x" localSheetId="61">'316'!$N$84:$O$84</definedName>
    <definedName name="OSRRefE28_0x" localSheetId="63">'317'!$N$108:$O$108</definedName>
    <definedName name="OSRRefE28_0x" localSheetId="67">'321'!$N$73:$O$73</definedName>
    <definedName name="OSRRefE28_0x" localSheetId="68">'322'!$N$69:$O$69</definedName>
    <definedName name="OSRRefE28_0x" localSheetId="56">'324'!$N$51:$O$51</definedName>
    <definedName name="OSRRefE28_0x" localSheetId="69">'325'!$N$80:$O$80</definedName>
    <definedName name="OSRRefE28_0x" localSheetId="59">'326'!$N$121:$O$121</definedName>
    <definedName name="OSRRefE28_0x" localSheetId="70">'327'!$N$32:$O$32</definedName>
    <definedName name="OSRRefE28_0x" localSheetId="52">'330'!$N$96:$O$96</definedName>
    <definedName name="OSRRefE28_0x" localSheetId="57">'331'!$N$166:$O$166</definedName>
    <definedName name="OSRRefE28_0x" localSheetId="60">'332'!$N$86:$O$86</definedName>
    <definedName name="OSRRefE28_0x" localSheetId="74">'405'!$N$88:$O$88</definedName>
    <definedName name="OSRRefE28_0x" localSheetId="75">'406'!$N$34:$O$34</definedName>
    <definedName name="OSRRefE28_0x" localSheetId="76">'411'!$N$85:$O$85</definedName>
    <definedName name="OSRRefE28_0x" localSheetId="77">'412'!$N$79:$O$79</definedName>
    <definedName name="OSRRefE28_0x" localSheetId="78">'413'!$N$68:$O$68</definedName>
    <definedName name="OSRRefE28_0x" localSheetId="79">'414'!$N$77:$O$77</definedName>
    <definedName name="OSRRefE28_0x" localSheetId="80">'415'!$N$95:$O$95</definedName>
    <definedName name="OSRRefE28_0x" localSheetId="81">'418'!$N$81:$O$81</definedName>
    <definedName name="OSRRefE28_0x" localSheetId="82">'420'!$N$30:$O$30</definedName>
    <definedName name="OSRRefE28_0x" localSheetId="83">'423'!$N$55:$O$55</definedName>
    <definedName name="OSRRefE28_0x" localSheetId="84">'424'!$N$32:$O$32</definedName>
    <definedName name="OSRRefE28_0x" localSheetId="85">'425'!$N$42:$O$42</definedName>
    <definedName name="OSRRefE28_0x" localSheetId="88">'430'!$N$60:$O$60</definedName>
    <definedName name="OSRRefE28_0x" localSheetId="89">'433'!$N$91:$O$91</definedName>
    <definedName name="OSRRefE28_0x" localSheetId="90">'435'!$N$26:$O$26</definedName>
    <definedName name="OSRRefE28_0x" localSheetId="91">'444'!$N$97:$O$97</definedName>
    <definedName name="OSRRefE28_0x" localSheetId="92">'450'!$N$86:$O$86</definedName>
    <definedName name="OSRRefE28_0x" localSheetId="86">'455'!$N$24:$O$24</definedName>
    <definedName name="OSRRefE28_0x" localSheetId="73">'491'!$N$117:$O$117</definedName>
    <definedName name="OSRRefE28_0x" localSheetId="87">'492'!$N$103:$O$103</definedName>
    <definedName name="OSRRefE28_0x" localSheetId="94">'501'!$N$72:$O$72</definedName>
    <definedName name="OSRRefE28_0x" localSheetId="47">'Div 3'!$N$229:$O$229</definedName>
    <definedName name="OSRRefE28_0x" localSheetId="71">'Div 4'!$N$126:$O$126</definedName>
    <definedName name="OSRRefE28_0x" localSheetId="93">'Div 5'!$N$72:$O$72</definedName>
    <definedName name="OSRRefE28_0x" localSheetId="62">'Div 6'!$N$108:$O$108</definedName>
    <definedName name="OSRRefE28_0x" localSheetId="2">Summary!$N$265:$O$265</definedName>
    <definedName name="OSRRefE33_0x" localSheetId="38">'100'!$N$29:$O$29</definedName>
    <definedName name="OSRRefE33_0x" localSheetId="37">'Div 1'!$N$28:$O$28</definedName>
    <definedName name="OSRRefE33_0x" localSheetId="2">Summary!$N$270:$O$270</definedName>
    <definedName name="OSRRefE34_0x" localSheetId="38">'100'!$N$30:$O$30</definedName>
    <definedName name="OSRRefE34_0x" localSheetId="37">'Div 1'!$N$29:$O$29</definedName>
    <definedName name="OSRRefE34_0x" localSheetId="2">Summary!$N$271:$O$271</definedName>
    <definedName name="OSRRefG11x" localSheetId="48">'300'!$Q$11:$Q$75</definedName>
    <definedName name="OSRRefG11x" localSheetId="49">'300 &amp; 317'!$Q$11:$Q$90</definedName>
    <definedName name="OSRRefG11x" localSheetId="53">'307'!$Q$11:$Q$21</definedName>
    <definedName name="OSRRefG11x" localSheetId="54">'308'!$Q$11:$Q$33</definedName>
    <definedName name="OSRRefG11x" localSheetId="65">'309'!$Q$11</definedName>
    <definedName name="OSRRefG11x" localSheetId="64">'310'!$Q$11:$Q$17</definedName>
    <definedName name="OSRRefG11x" localSheetId="72">'310 &amp; 491'!$Q$11:$Q$23</definedName>
    <definedName name="OSRRefG11x" localSheetId="55">'311'!$Q$11:$Q$32</definedName>
    <definedName name="OSRRefG11x" localSheetId="66">'313'!$Q$11:$Q$14</definedName>
    <definedName name="OSRRefG11x" localSheetId="58">'315'!$Q$11:$Q$48</definedName>
    <definedName name="OSRRefG11x" localSheetId="61">'316'!$Q$11:$Q$22</definedName>
    <definedName name="OSRRefG11x" localSheetId="63">'317'!$Q$11:$Q$29</definedName>
    <definedName name="OSRRefG11x" localSheetId="67">'321'!$Q$11:$Q$12</definedName>
    <definedName name="OSRRefG11x" localSheetId="68">'322'!$Q$11</definedName>
    <definedName name="OSRRefG11x" localSheetId="56">'324'!$Q$11:$Q$14</definedName>
    <definedName name="OSRRefG11x" localSheetId="59">'326'!$Q$11:$Q$31</definedName>
    <definedName name="OSRRefG11x" localSheetId="70">'327'!$Q$11:$Q$12</definedName>
    <definedName name="OSRRefG11x" localSheetId="52">'330'!$Q$11:$Q$24</definedName>
    <definedName name="OSRRefG11x" localSheetId="57">'331'!$Q$11:$Q$48</definedName>
    <definedName name="OSRRefG11x" localSheetId="60">'332'!$Q$11:$Q$22</definedName>
    <definedName name="OSRRefG11x" localSheetId="74">'405'!$Q$11:$Q$12</definedName>
    <definedName name="OSRRefG11x" localSheetId="77">'412'!$Q$11</definedName>
    <definedName name="OSRRefG11x" localSheetId="78">'413'!$Q$11:$Q$12</definedName>
    <definedName name="OSRRefG11x" localSheetId="79">'414'!$Q$11:$Q$13</definedName>
    <definedName name="OSRRefG11x" localSheetId="80">'415'!$Q$11:$Q$14</definedName>
    <definedName name="OSRRefG11x" localSheetId="81">'418'!$Q$11:$Q$12</definedName>
    <definedName name="OSRRefG11x" localSheetId="82">'420'!$Q$11:$Q$12</definedName>
    <definedName name="OSRRefG11x" localSheetId="89">'433'!$Q$11:$Q$14</definedName>
    <definedName name="OSRRefG11x" localSheetId="91">'444'!$Q$11:$Q$14</definedName>
    <definedName name="OSRRefG11x" localSheetId="92">'450'!$Q$11:$Q$12</definedName>
    <definedName name="OSRRefG11x" localSheetId="73">'491'!$Q$11:$Q$17</definedName>
    <definedName name="OSRRefG11x" localSheetId="87">'492'!$Q$11:$Q$14</definedName>
    <definedName name="OSRRefG11x" localSheetId="94">'501'!$Q$11:$Q$12</definedName>
    <definedName name="OSRRefG11x" localSheetId="47">'Div 3'!$Q$11:$Q$77</definedName>
    <definedName name="OSRRefG11x" localSheetId="71">'Div 4'!$Q$11:$Q$19</definedName>
    <definedName name="OSRRefG11x" localSheetId="93">'Div 5'!$Q$11:$Q$12</definedName>
    <definedName name="OSRRefG11x" localSheetId="62">'Div 6'!$Q$11:$Q$29</definedName>
    <definedName name="OSRRefG11x" localSheetId="2">Summary!$Q$11:$Q$98</definedName>
    <definedName name="OSRRefG14x" localSheetId="48">'300'!$Q$78:$Q$116</definedName>
    <definedName name="OSRRefG14x" localSheetId="49">'300 &amp; 317'!$Q$93:$Q$140</definedName>
    <definedName name="OSRRefG14x" localSheetId="50">'301'!$Q$13</definedName>
    <definedName name="OSRRefG14x" localSheetId="53">'307'!$Q$24:$Q$31</definedName>
    <definedName name="OSRRefG14x" localSheetId="54">'308'!$Q$36:$Q$51</definedName>
    <definedName name="OSRRefG14x" localSheetId="65">'309'!$Q$14</definedName>
    <definedName name="OSRRefG14x" localSheetId="64">'310'!$Q$20:$Q$22</definedName>
    <definedName name="OSRRefG14x" localSheetId="72">'310 &amp; 491'!$Q$26:$Q$28</definedName>
    <definedName name="OSRRefG14x" localSheetId="55">'311'!$Q$35:$Q$50</definedName>
    <definedName name="OSRRefG14x" localSheetId="66">'313'!$Q$17</definedName>
    <definedName name="OSRRefG14x" localSheetId="58">'315'!$Q$51:$Q$73</definedName>
    <definedName name="OSRRefG14x" localSheetId="63">'317'!$Q$32:$Q$45</definedName>
    <definedName name="OSRRefG14x" localSheetId="67">'321'!$Q$15:$Q$16</definedName>
    <definedName name="OSRRefG14x" localSheetId="68">'322'!$Q$14:$Q$15</definedName>
    <definedName name="OSRRefG14x" localSheetId="56">'324'!$Q$17:$Q$19</definedName>
    <definedName name="OSRRefG14x" localSheetId="69">'325'!$Q$13:$Q$14</definedName>
    <definedName name="OSRRefG14x" localSheetId="59">'326'!$Q$34:$Q$40</definedName>
    <definedName name="OSRRefG14x" localSheetId="70">'327'!$Q$15:$Q$16</definedName>
    <definedName name="OSRRefG14x" localSheetId="52">'330'!$Q$27:$Q$34</definedName>
    <definedName name="OSRRefG14x" localSheetId="57">'331'!$Q$51:$Q$74</definedName>
    <definedName name="OSRRefG14x" localSheetId="60">'332'!$Q$25:$Q$26</definedName>
    <definedName name="OSRRefG14x" localSheetId="74">'405'!$Q$15:$Q$16</definedName>
    <definedName name="OSRRefG14x" localSheetId="77">'412'!$Q$14</definedName>
    <definedName name="OSRRefG14x" localSheetId="78">'413'!$Q$15</definedName>
    <definedName name="OSRRefG14x" localSheetId="79">'414'!$Q$16:$Q$17</definedName>
    <definedName name="OSRRefG14x" localSheetId="80">'415'!$Q$17:$Q$19</definedName>
    <definedName name="OSRRefG14x" localSheetId="81">'418'!$Q$15:$Q$16</definedName>
    <definedName name="OSRRefG14x" localSheetId="85">'425'!$Q$13</definedName>
    <definedName name="OSRRefG14x" localSheetId="89">'433'!$Q$17:$Q$19</definedName>
    <definedName name="OSRRefG14x" localSheetId="91">'444'!$Q$17:$Q$19</definedName>
    <definedName name="OSRRefG14x" localSheetId="92">'450'!$Q$15</definedName>
    <definedName name="OSRRefG14x" localSheetId="73">'491'!$Q$20:$Q$22</definedName>
    <definedName name="OSRRefG14x" localSheetId="87">'492'!$Q$17:$Q$19</definedName>
    <definedName name="OSRRefG14x" localSheetId="47">'Div 3'!$Q$80:$Q$120</definedName>
    <definedName name="OSRRefG14x" localSheetId="71">'Div 4'!$Q$22:$Q$24</definedName>
    <definedName name="OSRRefG14x" localSheetId="62">'Div 6'!$Q$32:$Q$45</definedName>
    <definedName name="OSRRefG14x" localSheetId="2">Summary!$Q$101:$Q$150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'201'!$Q$18,'201'!$Q$28,'201'!$Q$39,'201'!$Q$41,'201'!$Q$43,'201'!$Q$45,'201'!$Q$47,'201'!$Q$49,'201'!$Q$51,'201'!$Q$53,'201'!$Q$55,'201'!$Q$58,'201'!$Q$61,'201'!$Q$63,'201'!$Q$67,'201'!$Q$69</definedName>
    <definedName name="OSRRefG20x" localSheetId="42">'202'!$Q$18,'202'!$Q$28,'202'!$Q$39,'202'!$Q$41,'202'!$Q$43,'202'!$Q$46,'202'!$Q$48,'202'!$Q$50,'202'!$Q$54,'202'!$Q$56,'202'!$Q$59,'202'!$Q$61,'202'!$Q$63</definedName>
    <definedName name="OSRRefG20x" localSheetId="43">'203'!$Q$18,'203'!$Q$29,'203'!$Q$40,'203'!$Q$42,'203'!$Q$44,'203'!$Q$46,'203'!$Q$48,'203'!$Q$50,'203'!$Q$52,'203'!$Q$56,'203'!$Q$59,'203'!$Q$61,'203'!$Q$65,'203'!$Q$67,'203'!$Q$69</definedName>
    <definedName name="OSRRefG20x" localSheetId="44">'204'!$Q$18,'204'!$Q$29,'204'!$Q$40,'204'!$Q$42,'204'!$Q$44,'204'!$Q$46,'204'!$Q$50,'204'!$Q$52,'204'!$Q$54,'204'!$Q$57,'204'!$Q$59</definedName>
    <definedName name="OSRRefG20x" localSheetId="45">'205'!$Q$18,'205'!$Q$28,'205'!$Q$39,'205'!$Q$41,'205'!$Q$43,'205'!$Q$46,'205'!$Q$48,'205'!$Q$51</definedName>
    <definedName name="OSRRefG20x" localSheetId="46">'206'!$Q$18,'206'!$Q$28,'206'!$Q$39,'206'!$Q$41,'206'!$Q$43,'206'!$Q$45,'206'!$Q$47</definedName>
    <definedName name="OSRRefG20x" localSheetId="48">'300'!$Q$122,'300'!$Q$133,'300'!$Q$144,'300'!$Q$146,'300'!$Q$149,'300'!$Q$151,'300'!$Q$154,'300'!$Q$157,'300'!$Q$159,'300'!$Q$161,'300'!$Q$163,'300'!$Q$166,'300'!$Q$169,'300'!$Q$171,'300'!$Q$174,'300'!$Q$176,'300'!$Q$178,'300'!$Q$183,'300'!$Q$188,'300'!$Q$193,'300'!$Q$196,'300'!$Q$206,'300'!$Q$209,'300'!$Q$211,'300'!$Q$215</definedName>
    <definedName name="OSRRefG20x" localSheetId="49">'300 &amp; 317'!$Q$146,'300 &amp; 317'!$Q$157,'300 &amp; 317'!$Q$168,'300 &amp; 317'!$Q$170,'300 &amp; 317'!$Q$173,'300 &amp; 317'!$Q$175,'300 &amp; 317'!$Q$178,'300 &amp; 317'!$Q$181,'300 &amp; 317'!$Q$183,'300 &amp; 317'!$Q$185,'300 &amp; 317'!$Q$187,'300 &amp; 317'!$Q$190,'300 &amp; 317'!$Q$193,'300 &amp; 317'!$Q$195,'300 &amp; 317'!$Q$198,'300 &amp; 317'!$Q$200,'300 &amp; 317'!$Q$202,'300 &amp; 317'!$Q$207,'300 &amp; 317'!$Q$212,'300 &amp; 317'!$Q$217,'300 &amp; 317'!$Q$220,'300 &amp; 317'!$Q$230,'300 &amp; 317'!$Q$233,'300 &amp; 317'!$Q$235,'300 &amp; 317'!$Q$239</definedName>
    <definedName name="OSRRefG20x" localSheetId="50">'301'!$Q$19,'301'!$Q$30,'301'!$Q$41,'301'!$Q$43,'301'!$Q$46,'301'!$Q$48,'301'!$Q$51,'301'!$Q$53,'301'!$Q$55,'301'!$Q$57,'301'!$Q$59,'301'!$Q$61,'301'!$Q$63,'301'!$Q$65,'301'!$Q$67,'301'!$Q$69,'301'!$Q$74,'301'!$Q$78,'301'!$Q$80,'301'!$Q$88,'301'!$Q$90,'301'!$Q$92,'301'!$Q$95</definedName>
    <definedName name="OSRRefG20x" localSheetId="51">'306'!$Q$18,'306'!$Q$28,'306'!$Q$39,'306'!$Q$41,'306'!$Q$43,'306'!$Q$45,'306'!$Q$47,'306'!$Q$49,'306'!$Q$51</definedName>
    <definedName name="OSRRefG20x" localSheetId="53">'307'!$Q$37,'307'!$Q$46,'307'!$Q$57,'307'!$Q$59,'307'!$Q$61,'307'!$Q$63,'307'!$Q$66,'307'!$Q$69,'307'!$Q$71,'307'!$Q$74,'307'!$Q$77,'307'!$Q$81,'307'!$Q$84</definedName>
    <definedName name="OSRRefG20x" localSheetId="54">'308'!$Q$57,'308'!$Q$68,'308'!$Q$79,'308'!$Q$81,'308'!$Q$84,'308'!$Q$86,'308'!$Q$88,'308'!$Q$91,'308'!$Q$94,'308'!$Q$96,'308'!$Q$100,'308'!$Q$103,'308'!$Q$107,'308'!$Q$110</definedName>
    <definedName name="OSRRefG20x" localSheetId="65">'309'!$Q$20,'309'!$Q$29,'309'!$Q$40,'309'!$Q$42,'309'!$Q$44,'309'!$Q$46,'309'!$Q$48,'309'!$Q$50,'309'!$Q$53,'309'!$Q$56,'309'!$Q$59</definedName>
    <definedName name="OSRRefG20x" localSheetId="64">'310'!$Q$28,'310'!$Q$38,'310'!$Q$49,'310'!$Q$51,'310'!$Q$53,'310'!$Q$55,'310'!$Q$58,'310'!$Q$60,'310'!$Q$62,'310'!$Q$64,'310'!$Q$66,'310'!$Q$68,'310'!$Q$70,'310'!$Q$73,'310'!$Q$75,'310'!$Q$79,'310'!$Q$86,'310'!$Q$89</definedName>
    <definedName name="OSRRefG20x" localSheetId="72">'310 &amp; 491'!$Q$34,'310 &amp; 491'!$Q$44,'310 &amp; 491'!$Q$55,'310 &amp; 491'!$Q$57,'310 &amp; 491'!$Q$59,'310 &amp; 491'!$Q$61,'310 &amp; 491'!$Q$65,'310 &amp; 491'!$Q$67,'310 &amp; 491'!$Q$69,'310 &amp; 491'!$Q$72,'310 &amp; 491'!$Q$74,'310 &amp; 491'!$Q$76,'310 &amp; 491'!$Q$78,'310 &amp; 491'!$Q$80,'310 &amp; 491'!$Q$82,'310 &amp; 491'!$Q$87,'310 &amp; 491'!$Q$90,'310 &amp; 491'!$Q$96,'310 &amp; 491'!$Q$98,'310 &amp; 491'!$Q$109,'310 &amp; 491'!$Q$112,'310 &amp; 491'!$Q$114,'310 &amp; 491'!$Q$116</definedName>
    <definedName name="OSRRefG20x" localSheetId="55">'311'!$Q$56,'311'!$Q$67,'311'!$Q$78,'311'!$Q$80,'311'!$Q$83,'311'!$Q$85,'311'!$Q$87,'311'!$Q$90,'311'!$Q$93,'311'!$Q$95,'311'!$Q$99,'311'!$Q$102,'311'!$Q$106,'311'!$Q$109</definedName>
    <definedName name="OSRRefG20x" localSheetId="66">'313'!$Q$23,'313'!$Q$33,'313'!$Q$44,'313'!$Q$46,'313'!$Q$48,'313'!$Q$50,'313'!$Q$52</definedName>
    <definedName name="OSRRefG20x" localSheetId="58">'315'!$Q$79,'315'!$Q$89,'315'!$Q$100,'315'!$Q$102,'315'!$Q$104,'315'!$Q$106,'315'!$Q$109,'315'!$Q$111,'315'!$Q$114,'315'!$Q$116,'315'!$Q$119,'315'!$Q$121,'315'!$Q$123,'315'!$Q$127,'315'!$Q$130,'315'!$Q$138,'315'!$Q$140</definedName>
    <definedName name="OSRRefG20x" localSheetId="61">'316'!$Q$30,'316'!$Q$40,'316'!$Q$51,'316'!$Q$53,'316'!$Q$55,'316'!$Q$57,'316'!$Q$59,'316'!$Q$62,'316'!$Q$66,'316'!$Q$68,'316'!$Q$74,'316'!$Q$76</definedName>
    <definedName name="OSRRefG20x" localSheetId="63">'317'!$Q$51,'317'!$Q$62,'317'!$Q$73,'317'!$Q$75,'317'!$Q$77,'317'!$Q$79,'317'!$Q$81,'317'!$Q$84,'317'!$Q$86,'317'!$Q$88,'317'!$Q$91,'317'!$Q$93,'317'!$Q$98,'317'!$Q$100</definedName>
    <definedName name="OSRRefG20x" localSheetId="67">'321'!$Q$22,'321'!$Q$32,'321'!$Q$43,'321'!$Q$45,'321'!$Q$47,'321'!$Q$49,'321'!$Q$51,'321'!$Q$54,'321'!$Q$56,'321'!$Q$59,'321'!$Q$62,'321'!$Q$65</definedName>
    <definedName name="OSRRefG20x" localSheetId="68">'322'!$Q$21,'322'!$Q$30,'322'!$Q$41,'322'!$Q$43,'322'!$Q$45,'322'!$Q$47,'322'!$Q$49,'322'!$Q$52,'322'!$Q$55,'322'!$Q$59,'322'!$Q$61</definedName>
    <definedName name="OSRRefG20x" localSheetId="56">'324'!$Q$25,'324'!$Q$34</definedName>
    <definedName name="OSRRefG20x" localSheetId="69">'325'!$Q$20,'325'!$Q$29,'325'!$Q$40,'325'!$Q$42,'325'!$Q$44,'325'!$Q$46,'325'!$Q$49,'325'!$Q$51,'325'!$Q$53,'325'!$Q$55,'325'!$Q$57,'325'!$Q$60,'325'!$Q$63,'325'!$Q$69,'325'!$Q$72</definedName>
    <definedName name="OSRRefG20x" localSheetId="59">'326'!$Q$46,'326'!$Q$56,'326'!$Q$67,'326'!$Q$69,'326'!$Q$71,'326'!$Q$73,'326'!$Q$75,'326'!$Q$77,'326'!$Q$79,'326'!$Q$81,'326'!$Q$83,'326'!$Q$85,'326'!$Q$87,'326'!$Q$91,'326'!$Q$95,'326'!$Q$98,'326'!$Q$105,'326'!$Q$108,'326'!$Q$110,'326'!$Q$113</definedName>
    <definedName name="OSRRefG20x" localSheetId="70">'327'!$Q$22,'327'!$Q$24</definedName>
    <definedName name="OSRRefG20x" localSheetId="52">'330'!$Q$40,'330'!$Q$50,'330'!$Q$61,'330'!$Q$63,'330'!$Q$65,'330'!$Q$67,'330'!$Q$70,'330'!$Q$73,'330'!$Q$75,'330'!$Q$78,'330'!$Q$81,'330'!$Q$85,'330'!$Q$88</definedName>
    <definedName name="OSRRefG20x" localSheetId="57">'331'!$Q$80,'331'!$Q$90,'331'!$Q$101,'331'!$Q$103,'331'!$Q$105,'331'!$Q$107,'331'!$Q$110,'331'!$Q$112,'331'!$Q$115,'331'!$Q$117,'331'!$Q$119,'331'!$Q$122,'331'!$Q$124,'331'!$Q$126,'331'!$Q$130,'331'!$Q$134,'331'!$Q$138,'331'!$Q$141,'331'!$Q$150,'331'!$Q$153,'331'!$Q$155,'331'!$Q$158</definedName>
    <definedName name="OSRRefG20x" localSheetId="60">'332'!$Q$32,'332'!$Q$42,'332'!$Q$53,'332'!$Q$55,'332'!$Q$57,'332'!$Q$59,'332'!$Q$61,'332'!$Q$64,'332'!$Q$68,'332'!$Q$70,'332'!$Q$76,'332'!$Q$78</definedName>
    <definedName name="OSRRefG20x" localSheetId="74">'405'!$Q$22,'405'!$Q$31,'405'!$Q$42,'405'!$Q$44,'405'!$Q$46,'405'!$Q$49,'405'!$Q$51,'405'!$Q$53,'405'!$Q$55,'405'!$Q$57,'405'!$Q$60,'405'!$Q$62,'405'!$Q$67,'405'!$Q$69,'405'!$Q$78,'405'!$Q$80</definedName>
    <definedName name="OSRRefG20x" localSheetId="75">'406'!$Q$18,'406'!$Q$20,'406'!$Q$22,'406'!$Q$24,'406'!$Q$26</definedName>
    <definedName name="OSRRefG20x" localSheetId="76">'411'!$Q$18,'411'!$Q$28,'411'!$Q$39,'411'!$Q$41,'411'!$Q$43,'411'!$Q$46,'411'!$Q$48,'411'!$Q$50,'411'!$Q$52,'411'!$Q$54,'411'!$Q$59,'411'!$Q$64,'411'!$Q$66,'411'!$Q$73,'411'!$Q$75,'411'!$Q$77</definedName>
    <definedName name="OSRRefG20x" localSheetId="77">'412'!$Q$20,'412'!$Q$29,'412'!$Q$40,'412'!$Q$42,'412'!$Q$44,'412'!$Q$47,'412'!$Q$49,'412'!$Q$51,'412'!$Q$53,'412'!$Q$56,'412'!$Q$58,'412'!$Q$63,'412'!$Q$68,'412'!$Q$71</definedName>
    <definedName name="OSRRefG20x" localSheetId="78">'413'!$Q$21,'413'!$Q$31,'413'!$Q$42,'413'!$Q$44,'413'!$Q$46,'413'!$Q$48,'413'!$Q$50,'413'!$Q$53,'413'!$Q$56,'413'!$Q$59</definedName>
    <definedName name="OSRRefG20x" localSheetId="79">'414'!$Q$23,'414'!$Q$33,'414'!$Q$44,'414'!$Q$46,'414'!$Q$48,'414'!$Q$50,'414'!$Q$52,'414'!$Q$54,'414'!$Q$56,'414'!$Q$59,'414'!$Q$61,'414'!$Q$63,'414'!$Q$65,'414'!$Q$69</definedName>
    <definedName name="OSRRefG20x" localSheetId="80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1">'418'!$Q$22,'418'!$Q$31,'418'!$Q$42,'418'!$Q$44,'418'!$Q$46,'418'!$Q$49,'418'!$Q$51,'418'!$Q$53,'418'!$Q$55,'418'!$Q$58,'418'!$Q$61,'418'!$Q$63,'418'!$Q$70,'418'!$Q$73</definedName>
    <definedName name="OSRRefG20x" localSheetId="82">'420'!$Q$20,'420'!$Q$22</definedName>
    <definedName name="OSRRefG20x" localSheetId="83">'423'!$Q$18,'423'!$Q$27,'423'!$Q$38,'423'!$Q$40,'423'!$Q$43,'423'!$Q$45,'423'!$Q$47</definedName>
    <definedName name="OSRRefG20x" localSheetId="84">'424'!$Q$18,'424'!$Q$20,'424'!$Q$22,'424'!$Q$24</definedName>
    <definedName name="OSRRefG20x" localSheetId="85">'425'!$Q$19,'425'!$Q$25,'425'!$Q$27,'425'!$Q$29,'425'!$Q$31,'425'!$Q$34</definedName>
    <definedName name="OSRRefG20x" localSheetId="88">'430'!$Q$18,'430'!$Q$28,'430'!$Q$39,'430'!$Q$41,'430'!$Q$43,'430'!$Q$47,'430'!$Q$50,'430'!$Q$52</definedName>
    <definedName name="OSRRefG20x" localSheetId="89">'433'!$Q$25,'433'!$Q$36,'433'!$Q$47,'433'!$Q$49,'433'!$Q$51,'433'!$Q$53,'433'!$Q$55,'433'!$Q$57,'433'!$Q$59,'433'!$Q$61,'433'!$Q$63,'433'!$Q$65,'433'!$Q$68,'433'!$Q$73,'433'!$Q$81,'433'!$Q$83</definedName>
    <definedName name="OSRRefG20x" localSheetId="90">'435'!$Q$18</definedName>
    <definedName name="OSRRefG20x" localSheetId="91">'444'!$Q$25,'444'!$Q$36,'444'!$Q$47,'444'!$Q$49,'444'!$Q$51,'444'!$Q$53,'444'!$Q$55,'444'!$Q$57,'444'!$Q$59,'444'!$Q$61,'444'!$Q$63,'444'!$Q$65,'444'!$Q$68,'444'!$Q$73,'444'!$Q$75,'444'!$Q$84,'444'!$Q$87,'444'!$Q$89</definedName>
    <definedName name="OSRRefG20x" localSheetId="92">'450'!$Q$21,'450'!$Q$32,'450'!$Q$43,'450'!$Q$45,'450'!$Q$47,'450'!$Q$49,'450'!$Q$51,'450'!$Q$53,'450'!$Q$55,'450'!$Q$57,'450'!$Q$59,'450'!$Q$61,'450'!$Q$63,'450'!$Q$65,'450'!$Q$69,'450'!$Q$75,'450'!$Q$78</definedName>
    <definedName name="OSRRefG20x" localSheetId="73">'491'!$Q$28,'491'!$Q$38,'491'!$Q$49,'491'!$Q$51,'491'!$Q$53,'491'!$Q$55,'491'!$Q$59,'491'!$Q$61,'491'!$Q$63,'491'!$Q$65,'491'!$Q$67,'491'!$Q$69,'491'!$Q$71,'491'!$Q$73,'491'!$Q$75,'491'!$Q$80,'491'!$Q$83,'491'!$Q$89,'491'!$Q$91,'491'!$Q$102,'491'!$Q$105,'491'!$Q$107,'491'!$Q$109</definedName>
    <definedName name="OSRRefG20x" localSheetId="87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4">'501'!$Q$20,'501'!$Q$31,'501'!$Q$42,'501'!$Q$44,'501'!$Q$46,'501'!$Q$48,'501'!$Q$51,'501'!$Q$53,'501'!$Q$55,'501'!$Q$57,'501'!$Q$61,'501'!$Q$64</definedName>
    <definedName name="OSRRefG20x" localSheetId="39">'Div 2'!$Q$18,'Div 2'!$Q$30,'Div 2'!$Q$41,'Div 2'!$Q$43,'Div 2'!$Q$45,'Div 2'!$Q$47,'Div 2'!$Q$49,'Div 2'!$Q$51,'Div 2'!$Q$53,'Div 2'!$Q$55,'Div 2'!$Q$58,'Div 2'!$Q$60,'Div 2'!$Q$62,'Div 2'!$Q$67,'Div 2'!$Q$72,'Div 2'!$Q$75,'Div 2'!$Q$78,'Div 2'!$Q$83,'Div 2'!$Q$86,'Div 2'!$Q$88</definedName>
    <definedName name="OSRRefG20x" localSheetId="47">'Div 3'!$Q$126,'Div 3'!$Q$137,'Div 3'!$Q$148,'Div 3'!$Q$150,'Div 3'!$Q$153,'Div 3'!$Q$155,'Div 3'!$Q$158,'Div 3'!$Q$161,'Div 3'!$Q$163,'Div 3'!$Q$165,'Div 3'!$Q$167,'Div 3'!$Q$170,'Div 3'!$Q$173,'Div 3'!$Q$175,'Div 3'!$Q$177,'Div 3'!$Q$180,'Div 3'!$Q$182,'Div 3'!$Q$184,'Div 3'!$Q$189,'Div 3'!$Q$194,'Div 3'!$Q$199,'Div 3'!$Q$202,'Div 3'!$Q$212,'Div 3'!$Q$215,'Div 3'!$Q$217,'Div 3'!$Q$221</definedName>
    <definedName name="OSRRefG20x" localSheetId="71">'Div 4'!$Q$30,'Div 4'!$Q$41,'Div 4'!$Q$52,'Div 4'!$Q$54,'Div 4'!$Q$56,'Div 4'!$Q$58,'Div 4'!$Q$62,'Div 4'!$Q$64,'Div 4'!$Q$66,'Div 4'!$Q$68,'Div 4'!$Q$70,'Div 4'!$Q$72,'Div 4'!$Q$74,'Div 4'!$Q$76,'Div 4'!$Q$78,'Div 4'!$Q$80,'Div 4'!$Q$85,'Div 4'!$Q$88,'Div 4'!$Q$94,'Div 4'!$Q$97,'Div 4'!$Q$109,'Div 4'!$Q$112,'Div 4'!$Q$114,'Div 4'!$Q$118</definedName>
    <definedName name="OSRRefG20x" localSheetId="93">'Div 5'!$Q$20,'Div 5'!$Q$31,'Div 5'!$Q$42,'Div 5'!$Q$44,'Div 5'!$Q$46,'Div 5'!$Q$48,'Div 5'!$Q$51,'Div 5'!$Q$53,'Div 5'!$Q$55,'Div 5'!$Q$57,'Div 5'!$Q$61,'Div 5'!$Q$64</definedName>
    <definedName name="OSRRefG20x" localSheetId="62">'Div 6'!$Q$51,'Div 6'!$Q$62,'Div 6'!$Q$73,'Div 6'!$Q$75,'Div 6'!$Q$77,'Div 6'!$Q$79,'Div 6'!$Q$81,'Div 6'!$Q$84,'Div 6'!$Q$86,'Div 6'!$Q$88,'Div 6'!$Q$91,'Div 6'!$Q$93,'Div 6'!$Q$98,'Div 6'!$Q$100</definedName>
    <definedName name="OSRRefG20x" localSheetId="2">Summary!$Q$156,Summary!$Q$167,Summary!$Q$178,Summary!$Q$180,Summary!$Q$183,Summary!$Q$185,Summary!$Q$189,Summary!$Q$192,Summary!$Q$194,Summary!$Q$196,Summary!$Q$198,Summary!$Q$201,Summary!$Q$204,Summary!$Q$206,Summary!$Q$208,Summary!$Q$211,Summary!$Q$213,Summary!$Q$215,Summary!$Q$217,Summary!$Q$222,Summary!$Q$227,Summary!$Q$233,Summary!$Q$236,Summary!$Q$248,Summary!$Q$251,Summary!$Q$253,Summary!$Q$257</definedName>
    <definedName name="_xlnm.Print_Area" localSheetId="38">'100'!$A$1:$Q$35</definedName>
    <definedName name="_xlnm.Print_Area" localSheetId="40">'200'!$A$1:$Q$42</definedName>
    <definedName name="_xlnm.Print_Area" localSheetId="41">'201'!$A$1:$Q$86</definedName>
    <definedName name="_xlnm.Print_Area" localSheetId="42">'202'!$A$1:$Q$80</definedName>
    <definedName name="_xlnm.Print_Area" localSheetId="43">'203'!$A$1:$Q$86</definedName>
    <definedName name="_xlnm.Print_Area" localSheetId="44">'204'!$A$1:$Q$76</definedName>
    <definedName name="_xlnm.Print_Area" localSheetId="45">'205'!$A$1:$Q$68</definedName>
    <definedName name="_xlnm.Print_Area" localSheetId="46">'206'!$A$1:$Q$64</definedName>
    <definedName name="_xlnm.Print_Area" localSheetId="48">'300'!$A$1:$Q$232</definedName>
    <definedName name="_xlnm.Print_Area" localSheetId="49">'300 &amp; 317'!$A$1:$Q$256</definedName>
    <definedName name="_xlnm.Print_Area" localSheetId="50">'301'!$A$1:$Q$112</definedName>
    <definedName name="_xlnm.Print_Area" localSheetId="51">'306'!$A$1:$Q$68</definedName>
    <definedName name="_xlnm.Print_Area" localSheetId="53">'307'!$A$1:$Q$101</definedName>
    <definedName name="_xlnm.Print_Area" localSheetId="54">'308'!$A$1:$Q$127</definedName>
    <definedName name="_xlnm.Print_Area" localSheetId="65">'309'!$A$1:$Q$76</definedName>
    <definedName name="_xlnm.Print_Area" localSheetId="64">'310'!$A$1:$Q$106</definedName>
    <definedName name="_xlnm.Print_Area" localSheetId="72">'310 &amp; 491'!$A$1:$Q$133</definedName>
    <definedName name="_xlnm.Print_Area" localSheetId="55">'311'!$A$1:$Q$126</definedName>
    <definedName name="_xlnm.Print_Area" localSheetId="66">'313'!$A$1:$Q$69</definedName>
    <definedName name="_xlnm.Print_Area" localSheetId="58">'315'!$A$1:$Q$158</definedName>
    <definedName name="_xlnm.Print_Area" localSheetId="61">'316'!$A$1:$Q$93</definedName>
    <definedName name="_xlnm.Print_Area" localSheetId="63">'317'!$A$1:$Q$117</definedName>
    <definedName name="_xlnm.Print_Area" localSheetId="67">'321'!$A$1:$Q$82</definedName>
    <definedName name="_xlnm.Print_Area" localSheetId="68">'322'!$A$1:$Q$78</definedName>
    <definedName name="_xlnm.Print_Area" localSheetId="56">'324'!$A$1:$Q$60</definedName>
    <definedName name="_xlnm.Print_Area" localSheetId="69">'325'!$A$1:$Q$89</definedName>
    <definedName name="_xlnm.Print_Area" localSheetId="59">'326'!$A$1:$Q$130</definedName>
    <definedName name="_xlnm.Print_Area" localSheetId="70">'327'!$A$1:$Q$41</definedName>
    <definedName name="_xlnm.Print_Area" localSheetId="52">'330'!$A$1:$Q$105</definedName>
    <definedName name="_xlnm.Print_Area" localSheetId="57">'331'!$A$1:$Q$175</definedName>
    <definedName name="_xlnm.Print_Area" localSheetId="60">'332'!$A$1:$Q$95</definedName>
    <definedName name="_xlnm.Print_Area" localSheetId="74">'405'!$A$1:$Q$97</definedName>
    <definedName name="_xlnm.Print_Area" localSheetId="75">'406'!$A$1:$Q$43</definedName>
    <definedName name="_xlnm.Print_Area" localSheetId="76">'411'!$A$1:$Q$94</definedName>
    <definedName name="_xlnm.Print_Area" localSheetId="77">'412'!$A$1:$Q$88</definedName>
    <definedName name="_xlnm.Print_Area" localSheetId="78">'413'!$A$1:$Q$77</definedName>
    <definedName name="_xlnm.Print_Area" localSheetId="79">'414'!$A$1:$Q$86</definedName>
    <definedName name="_xlnm.Print_Area" localSheetId="80">'415'!$A$1:$Q$104</definedName>
    <definedName name="_xlnm.Print_Area" localSheetId="81">'418'!$A$1:$Q$90</definedName>
    <definedName name="_xlnm.Print_Area" localSheetId="82">'420'!$A$1:$Q$39</definedName>
    <definedName name="_xlnm.Print_Area" localSheetId="83">'423'!$A$1:$Q$64</definedName>
    <definedName name="_xlnm.Print_Area" localSheetId="84">'424'!$A$1:$Q$41</definedName>
    <definedName name="_xlnm.Print_Area" localSheetId="85">'425'!$A$1:$Q$51</definedName>
    <definedName name="_xlnm.Print_Area" localSheetId="88">'430'!$A$1:$Q$69</definedName>
    <definedName name="_xlnm.Print_Area" localSheetId="89">'433'!$A$1:$Q$100</definedName>
    <definedName name="_xlnm.Print_Area" localSheetId="90">'435'!$A$1:$Q$35</definedName>
    <definedName name="_xlnm.Print_Area" localSheetId="91">'444'!$A$1:$Q$106</definedName>
    <definedName name="_xlnm.Print_Area" localSheetId="92">'450'!$A$1:$Q$95</definedName>
    <definedName name="_xlnm.Print_Area" localSheetId="86">'455'!$A$1:$Q$33</definedName>
    <definedName name="_xlnm.Print_Area" localSheetId="73">'491'!$A$1:$Q$126</definedName>
    <definedName name="_xlnm.Print_Area" localSheetId="87">'492'!$A$1:$Q$112</definedName>
    <definedName name="_xlnm.Print_Area" localSheetId="94">'501'!$A$1:$Q$81</definedName>
    <definedName name="_xlnm.Print_Area" localSheetId="95">Dept!$A$1:$G$39</definedName>
    <definedName name="_xlnm.Print_Area" localSheetId="37">'Div 1'!$A$1:$Q$34</definedName>
    <definedName name="_xlnm.Print_Area" localSheetId="39">'Div 2'!$A$1:$Q$105</definedName>
    <definedName name="_xlnm.Print_Area" localSheetId="47">'Div 3'!$A$1:$Q$238</definedName>
    <definedName name="_xlnm.Print_Area" localSheetId="71">'Div 4'!$A$1:$Q$135</definedName>
    <definedName name="_xlnm.Print_Area" localSheetId="93">'Div 5'!$A$1:$Q$81</definedName>
    <definedName name="_xlnm.Print_Area" localSheetId="62">'Div 6'!$A$1:$Q$117</definedName>
    <definedName name="_xlnm.Print_Area" localSheetId="13">'OSR_300 &amp; 317_1C00ID4'!$A$1:$G$39</definedName>
    <definedName name="_xlnm.Print_Area" localSheetId="11">OSR_300_IYZXI6!$A$1:$G$39</definedName>
    <definedName name="_xlnm.Print_Area" localSheetId="19">OSR_308_UAWDAG!$A$1:$G$39</definedName>
    <definedName name="_xlnm.Print_Area" localSheetId="34">'OSR_310 &amp; 49...7615ada9_1PJ8EDG'!$A$1:$G$39</definedName>
    <definedName name="_xlnm.Print_Area" localSheetId="32">'OSR_310 &amp; 49...76bf5af7_1A2901X'!$A$1:$G$39</definedName>
    <definedName name="_xlnm.Print_Area" localSheetId="30">'OSR_310 &amp; 491...c23f2d59_X1JXXU'!$A$1:$G$39</definedName>
    <definedName name="_xlnm.Print_Area" localSheetId="27">'OSR_310 &amp; 491_1NGRCS9'!$A$1:$G$39</definedName>
    <definedName name="_xlnm.Print_Area" localSheetId="15">OSR_310_1CMTOSB!$A$1:$G$39</definedName>
    <definedName name="_xlnm.Print_Area" localSheetId="17">OSR_330_10VFP5Y!$A$1:$G$39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9">OSR_491_9Z9JH5!$A$1:$G$39</definedName>
    <definedName name="_xlnm.Print_Area" localSheetId="31">OSR_492_943FP1!$A$1:$G$39</definedName>
    <definedName name="_xlnm.Print_Area" localSheetId="4">'OSR_Current ...69b7dd8c_1IEQKFK'!$A$1:$G$39</definedName>
    <definedName name="_xlnm.Print_Area" localSheetId="6">'OSR_Dept (2)_...dd5b15a0_2T6PUA'!$A$1:$G$39</definedName>
    <definedName name="_xlnm.Print_Area" localSheetId="96">OSR_Dept_Y0WUKY!$A$1:$G$39</definedName>
    <definedName name="_xlnm.Print_Area" localSheetId="26">'OSR_Div 1 (1...42fef80a_1JUNUIZ'!$A$1:$G$39</definedName>
    <definedName name="_xlnm.Print_Area" localSheetId="24">'OSR_Div 1 (10...e834aaf2_4B2R3Z'!$A$1:$G$39</definedName>
    <definedName name="_xlnm.Print_Area" localSheetId="8">'OSR_Div 1 (2...9b2bdc94_1Y8VZ4A'!$A$1:$G$39</definedName>
    <definedName name="_xlnm.Print_Area" localSheetId="10">'OSR_Div 1 (3...74ea2e91_1YANJVT'!$A$1:$G$39</definedName>
    <definedName name="_xlnm.Print_Area" localSheetId="12">'OSR_Div 1 (4)...cdd6f638_NQSRHK'!$A$1:$G$39</definedName>
    <definedName name="_xlnm.Print_Area" localSheetId="14">'OSR_Div 1 (5)...14c61d9ac_RUIH7'!$A$1:$G$39</definedName>
    <definedName name="_xlnm.Print_Area" localSheetId="16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5">'OSR_Div 1_7H47HR'!$A$1:$G$39</definedName>
    <definedName name="_xlnm.Print_Area" localSheetId="7">'OSR_Div 2_1PQ800A'!$A$1:$G$39</definedName>
    <definedName name="_xlnm.Print_Area" localSheetId="9">'OSR_Div 3_18723PH'!$A$1:$G$39</definedName>
    <definedName name="_xlnm.Print_Area" localSheetId="28">'OSR_Div 4 (2)...a8a8204b_XPPX5M'!$A$1:$G$39</definedName>
    <definedName name="_xlnm.Print_Area" localSheetId="25">'OSR_Div 4_1740TMT'!$A$1:$G$39</definedName>
    <definedName name="_xlnm.Print_Area" localSheetId="36">'OSR_Div 5 (2...bac05800_1LZIM8H'!$A$1:$G$39</definedName>
    <definedName name="_xlnm.Print_Area" localSheetId="33">'OSR_Div 5_16NAZO2'!$A$1:$G$39</definedName>
    <definedName name="_xlnm.Print_Area" localSheetId="35">'OSR_Div 6_P37YY7'!$A$1:$G$39</definedName>
    <definedName name="_xlnm.Print_Area" localSheetId="97">'OSR_Summary (...56e5d78f_5JEYZH'!$A$1:$G$39</definedName>
    <definedName name="_xlnm.Print_Area" localSheetId="3">OSR_Summary_18VAVWG!$A$1:$G$39</definedName>
    <definedName name="_xlnm.Print_Area" localSheetId="2">Summary!$A$1:$Q$276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1">'306'!$A:$C,'306'!$1:$8</definedName>
    <definedName name="_xlnm.Print_Titles" localSheetId="53">'307'!$A:$C,'307'!$1:$8</definedName>
    <definedName name="_xlnm.Print_Titles" localSheetId="54">'308'!$A:$C,'308'!$1:$8</definedName>
    <definedName name="_xlnm.Print_Titles" localSheetId="65">'309'!$A:$C,'309'!$1:$8</definedName>
    <definedName name="_xlnm.Print_Titles" localSheetId="64">'310'!$A:$C,'310'!$1:$8</definedName>
    <definedName name="_xlnm.Print_Titles" localSheetId="72">'310 &amp; 491'!$A:$C,'310 &amp; 491'!$1:$8</definedName>
    <definedName name="_xlnm.Print_Titles" localSheetId="55">'311'!$A:$C,'311'!$1:$8</definedName>
    <definedName name="_xlnm.Print_Titles" localSheetId="66">'313'!$A:$C,'313'!$1:$8</definedName>
    <definedName name="_xlnm.Print_Titles" localSheetId="58">'315'!$A:$C,'315'!$1:$8</definedName>
    <definedName name="_xlnm.Print_Titles" localSheetId="61">'316'!$A:$C,'316'!$1:$8</definedName>
    <definedName name="_xlnm.Print_Titles" localSheetId="63">'317'!$A:$C,'317'!$1:$8</definedName>
    <definedName name="_xlnm.Print_Titles" localSheetId="67">'321'!$A:$C,'321'!$1:$8</definedName>
    <definedName name="_xlnm.Print_Titles" localSheetId="68">'322'!$A:$C,'322'!$1:$8</definedName>
    <definedName name="_xlnm.Print_Titles" localSheetId="56">'324'!$A:$C,'324'!$1:$8</definedName>
    <definedName name="_xlnm.Print_Titles" localSheetId="69">'325'!$A:$C,'325'!$1:$8</definedName>
    <definedName name="_xlnm.Print_Titles" localSheetId="59">'326'!$A:$C,'326'!$1:$8</definedName>
    <definedName name="_xlnm.Print_Titles" localSheetId="70">'327'!$A:$C,'327'!$1:$8</definedName>
    <definedName name="_xlnm.Print_Titles" localSheetId="52">'330'!$A:$C,'330'!$1:$8</definedName>
    <definedName name="_xlnm.Print_Titles" localSheetId="57">'331'!$A:$C,'331'!$1:$8</definedName>
    <definedName name="_xlnm.Print_Titles" localSheetId="60">'332'!$A:$C,'332'!$1:$8</definedName>
    <definedName name="_xlnm.Print_Titles" localSheetId="74">'405'!$A:$C,'405'!$1:$8</definedName>
    <definedName name="_xlnm.Print_Titles" localSheetId="75">'406'!$A:$C,'406'!$1:$8</definedName>
    <definedName name="_xlnm.Print_Titles" localSheetId="76">'411'!$A:$C,'411'!$1:$8</definedName>
    <definedName name="_xlnm.Print_Titles" localSheetId="77">'412'!$A:$C,'412'!$1:$8</definedName>
    <definedName name="_xlnm.Print_Titles" localSheetId="78">'413'!$A:$C,'413'!$1:$8</definedName>
    <definedName name="_xlnm.Print_Titles" localSheetId="79">'414'!$A:$C,'414'!$1:$8</definedName>
    <definedName name="_xlnm.Print_Titles" localSheetId="80">'415'!$A:$C,'415'!$1:$8</definedName>
    <definedName name="_xlnm.Print_Titles" localSheetId="81">'418'!$A:$C,'418'!$1:$8</definedName>
    <definedName name="_xlnm.Print_Titles" localSheetId="82">'420'!$A:$C,'420'!$1:$8</definedName>
    <definedName name="_xlnm.Print_Titles" localSheetId="83">'423'!$A:$C,'423'!$1:$8</definedName>
    <definedName name="_xlnm.Print_Titles" localSheetId="84">'424'!$A:$C,'424'!$1:$8</definedName>
    <definedName name="_xlnm.Print_Titles" localSheetId="85">'425'!$A:$C,'425'!$1:$8</definedName>
    <definedName name="_xlnm.Print_Titles" localSheetId="88">'430'!$A:$C,'430'!$1:$8</definedName>
    <definedName name="_xlnm.Print_Titles" localSheetId="89">'433'!$A:$C,'433'!$1:$8</definedName>
    <definedName name="_xlnm.Print_Titles" localSheetId="90">'435'!$A:$C,'435'!$1:$8</definedName>
    <definedName name="_xlnm.Print_Titles" localSheetId="91">'444'!$A:$C,'444'!$1:$8</definedName>
    <definedName name="_xlnm.Print_Titles" localSheetId="92">'450'!$A:$C,'450'!$1:$8</definedName>
    <definedName name="_xlnm.Print_Titles" localSheetId="86">'455'!$A:$C,'455'!$1:$8</definedName>
    <definedName name="_xlnm.Print_Titles" localSheetId="73">'491'!$A:$C,'491'!$1:$8</definedName>
    <definedName name="_xlnm.Print_Titles" localSheetId="87">'492'!$A:$C,'492'!$1:$8</definedName>
    <definedName name="_xlnm.Print_Titles" localSheetId="94">'501'!$A:$C,'501'!$1:$8</definedName>
    <definedName name="_xlnm.Print_Titles" localSheetId="95">Dept!$A:$C,Dept!$1:$8</definedName>
    <definedName name="_xlnm.Print_Titles" localSheetId="37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1">'Div 4'!$A:$C,'Div 4'!$1:$8</definedName>
    <definedName name="_xlnm.Print_Titles" localSheetId="93">'Div 5'!$A:$C,'Div 5'!$1:$8</definedName>
    <definedName name="_xlnm.Print_Titles" localSheetId="62">'Div 6'!$A:$C,'Div 6'!$1:$8</definedName>
    <definedName name="_xlnm.Print_Titles" localSheetId="13">'OSR_300 &amp; 317_1C00ID4'!$A:$C,'OSR_300 &amp; 317_1C00ID4'!$1:$8</definedName>
    <definedName name="_xlnm.Print_Titles" localSheetId="11">OSR_300_IYZXI6!$A:$C,OSR_300_IYZXI6!$1:$8</definedName>
    <definedName name="_xlnm.Print_Titles" localSheetId="19">OSR_308_UAWDAG!$A:$C,OSR_308_UAWDAG!$1:$8</definedName>
    <definedName name="_xlnm.Print_Titles" localSheetId="34">'OSR_310 &amp; 49...7615ada9_1PJ8EDG'!$A:$C,'OSR_310 &amp; 49...7615ada9_1PJ8EDG'!$1:$8</definedName>
    <definedName name="_xlnm.Print_Titles" localSheetId="32">'OSR_310 &amp; 49...76bf5af7_1A2901X'!$A:$C,'OSR_310 &amp; 49...76bf5af7_1A2901X'!$1:$8</definedName>
    <definedName name="_xlnm.Print_Titles" localSheetId="30">'OSR_310 &amp; 491...c23f2d59_X1JXXU'!$A:$C,'OSR_310 &amp; 491...c23f2d59_X1JXXU'!$1:$8</definedName>
    <definedName name="_xlnm.Print_Titles" localSheetId="27">'OSR_310 &amp; 491_1NGRCS9'!$A:$C,'OSR_310 &amp; 491_1NGRCS9'!$1:$8</definedName>
    <definedName name="_xlnm.Print_Titles" localSheetId="15">OSR_310_1CMTOSB!$A:$C,OSR_310_1CMTOSB!$1:$8</definedName>
    <definedName name="_xlnm.Print_Titles" localSheetId="17">OSR_330_10VFP5Y!$A:$C,OSR_330_10VFP5Y!$1:$8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9">OSR_491_9Z9JH5!$A:$C,OSR_491_9Z9JH5!$1:$8</definedName>
    <definedName name="_xlnm.Print_Titles" localSheetId="31">OSR_492_943FP1!$A:$C,OSR_492_943FP1!$1:$8</definedName>
    <definedName name="_xlnm.Print_Titles" localSheetId="4">'OSR_Current ...69b7dd8c_1IEQKFK'!$A:$C,'OSR_Current ...69b7dd8c_1IEQKFK'!$1:$8</definedName>
    <definedName name="_xlnm.Print_Titles" localSheetId="6">'OSR_Dept (2)_...dd5b15a0_2T6PUA'!$A:$C,'OSR_Dept (2)_...dd5b15a0_2T6PUA'!$1:$8</definedName>
    <definedName name="_xlnm.Print_Titles" localSheetId="96">OSR_Dept_Y0WUKY!$A:$C,OSR_Dept_Y0WUKY!$1:$8</definedName>
    <definedName name="_xlnm.Print_Titles" localSheetId="26">'OSR_Div 1 (1...42fef80a_1JUNUIZ'!$A:$C,'OSR_Div 1 (1...42fef80a_1JUNUIZ'!$1:$8</definedName>
    <definedName name="_xlnm.Print_Titles" localSheetId="24">'OSR_Div 1 (10...e834aaf2_4B2R3Z'!$A:$C,'OSR_Div 1 (10...e834aaf2_4B2R3Z'!$1:$8</definedName>
    <definedName name="_xlnm.Print_Titles" localSheetId="8">'OSR_Div 1 (2...9b2bdc94_1Y8VZ4A'!$A:$C,'OSR_Div 1 (2...9b2bdc94_1Y8VZ4A'!$1:$8</definedName>
    <definedName name="_xlnm.Print_Titles" localSheetId="10">'OSR_Div 1 (3...74ea2e91_1YANJVT'!$A:$C,'OSR_Div 1 (3...74ea2e91_1YANJVT'!$1:$8</definedName>
    <definedName name="_xlnm.Print_Titles" localSheetId="12">'OSR_Div 1 (4)...cdd6f638_NQSRHK'!$A:$C,'OSR_Div 1 (4)...cdd6f638_NQSRHK'!$1:$8</definedName>
    <definedName name="_xlnm.Print_Titles" localSheetId="14">'OSR_Div 1 (5)...14c61d9ac_RUIH7'!$A:$C,'OSR_Div 1 (5)...14c61d9ac_RUIH7'!$1:$8</definedName>
    <definedName name="_xlnm.Print_Titles" localSheetId="16">'OSR_Div 1 (6)...754b1b2a_ZV1FUK'!$A:$C,'OSR_Div 1 (6)...754b1b2a_ZV1FUK'!$1:$8</definedName>
    <definedName name="_xlnm.Print_Titles" localSheetId="18">'OSR_Div 1 (7)...77c4adfc_YECVQC'!$A:$C,'OSR_Div 1 (7)...77c4adfc_YECVQC'!$1:$8</definedName>
    <definedName name="_xlnm.Print_Titles" localSheetId="20">'OSR_Div 1 (8...54681dd8_1N56J6G'!$A:$C,'OSR_Div 1 (8...54681dd8_1N56J6G'!$1:$8</definedName>
    <definedName name="_xlnm.Print_Titles" localSheetId="22">'OSR_Div 1 (9)...81df0cf4_TBZUNU'!$A:$C,'OSR_Div 1 (9)...81df0cf4_TBZUNU'!$1:$8</definedName>
    <definedName name="_xlnm.Print_Titles" localSheetId="5">'OSR_Div 1_7H47HR'!$A:$C,'OSR_Div 1_7H47HR'!$1:$8</definedName>
    <definedName name="_xlnm.Print_Titles" localSheetId="7">'OSR_Div 2_1PQ800A'!$A:$C,'OSR_Div 2_1PQ800A'!$1:$8</definedName>
    <definedName name="_xlnm.Print_Titles" localSheetId="9">'OSR_Div 3_18723PH'!$A:$C,'OSR_Div 3_18723PH'!$1:$8</definedName>
    <definedName name="_xlnm.Print_Titles" localSheetId="28">'OSR_Div 4 (2)...a8a8204b_XPPX5M'!$A:$C,'OSR_Div 4 (2)...a8a8204b_XPPX5M'!$1:$8</definedName>
    <definedName name="_xlnm.Print_Titles" localSheetId="25">'OSR_Div 4_1740TMT'!$A:$C,'OSR_Div 4_1740TMT'!$1:$8</definedName>
    <definedName name="_xlnm.Print_Titles" localSheetId="36">'OSR_Div 5 (2...bac05800_1LZIM8H'!$A:$C,'OSR_Div 5 (2...bac05800_1LZIM8H'!$1:$8</definedName>
    <definedName name="_xlnm.Print_Titles" localSheetId="33">'OSR_Div 5_16NAZO2'!$A:$C,'OSR_Div 5_16NAZO2'!$1:$8</definedName>
    <definedName name="_xlnm.Print_Titles" localSheetId="35">'OSR_Div 6_P37YY7'!$A:$C,'OSR_Div 6_P37YY7'!$1:$8</definedName>
    <definedName name="_xlnm.Print_Titles" localSheetId="97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2" i="95" l="1"/>
  <c r="F69" i="95"/>
  <c r="M67" i="95"/>
  <c r="L67" i="95"/>
  <c r="K67" i="95"/>
  <c r="J67" i="95"/>
  <c r="I67" i="95"/>
  <c r="H67" i="95"/>
  <c r="G67" i="95"/>
  <c r="F67" i="95"/>
  <c r="E67" i="95"/>
  <c r="Q67" i="95" s="1"/>
  <c r="D67" i="95"/>
  <c r="Q65" i="95"/>
  <c r="B65" i="95"/>
  <c r="O64" i="95"/>
  <c r="N64" i="95"/>
  <c r="M64" i="95"/>
  <c r="L64" i="95"/>
  <c r="K64" i="95"/>
  <c r="J64" i="95"/>
  <c r="I64" i="95"/>
  <c r="H64" i="95"/>
  <c r="G64" i="95"/>
  <c r="F64" i="95"/>
  <c r="E64" i="95"/>
  <c r="D64" i="95"/>
  <c r="Q64" i="95" s="1"/>
  <c r="B64" i="95"/>
  <c r="Q63" i="95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Q61" i="95" s="1"/>
  <c r="B61" i="95"/>
  <c r="Q60" i="95"/>
  <c r="B60" i="95"/>
  <c r="Q59" i="95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Q57" i="95" s="1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B55" i="95"/>
  <c r="Q54" i="95"/>
  <c r="B54" i="95"/>
  <c r="O53" i="95"/>
  <c r="N53" i="95"/>
  <c r="M53" i="95"/>
  <c r="L53" i="95"/>
  <c r="K53" i="95"/>
  <c r="J53" i="95"/>
  <c r="I53" i="95"/>
  <c r="H53" i="95"/>
  <c r="G53" i="95"/>
  <c r="F53" i="95"/>
  <c r="F19" i="95" s="1"/>
  <c r="E53" i="95"/>
  <c r="D53" i="95"/>
  <c r="Q53" i="95" s="1"/>
  <c r="B53" i="95"/>
  <c r="Q52" i="95"/>
  <c r="B52" i="95"/>
  <c r="O51" i="95"/>
  <c r="N51" i="95"/>
  <c r="M51" i="95"/>
  <c r="L51" i="95"/>
  <c r="K51" i="95"/>
  <c r="J51" i="95"/>
  <c r="J19" i="95" s="1"/>
  <c r="I51" i="95"/>
  <c r="H51" i="95"/>
  <c r="G51" i="95"/>
  <c r="F51" i="95"/>
  <c r="E51" i="95"/>
  <c r="D51" i="95"/>
  <c r="Q51" i="95" s="1"/>
  <c r="B51" i="95"/>
  <c r="Q50" i="95"/>
  <c r="B50" i="95"/>
  <c r="Q49" i="95"/>
  <c r="B49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Q48" i="95" s="1"/>
  <c r="B48" i="95"/>
  <c r="Q47" i="95"/>
  <c r="B47" i="95"/>
  <c r="O46" i="95"/>
  <c r="N46" i="95"/>
  <c r="M46" i="95"/>
  <c r="L46" i="95"/>
  <c r="K46" i="95"/>
  <c r="J46" i="95"/>
  <c r="I46" i="95"/>
  <c r="H46" i="95"/>
  <c r="H19" i="95" s="1"/>
  <c r="G46" i="95"/>
  <c r="F46" i="95"/>
  <c r="E46" i="95"/>
  <c r="D46" i="95"/>
  <c r="Q46" i="95" s="1"/>
  <c r="B46" i="95"/>
  <c r="Q45" i="95"/>
  <c r="B45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Q44" i="95" s="1"/>
  <c r="B44" i="95"/>
  <c r="Q43" i="95"/>
  <c r="B43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D19" i="95" s="1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Q35" i="95"/>
  <c r="B35" i="95"/>
  <c r="Q34" i="95"/>
  <c r="B34" i="95"/>
  <c r="Q33" i="95"/>
  <c r="B33" i="95"/>
  <c r="Q32" i="95"/>
  <c r="B32" i="95"/>
  <c r="O31" i="95"/>
  <c r="N31" i="95"/>
  <c r="N19" i="95" s="1"/>
  <c r="M31" i="95"/>
  <c r="L31" i="95"/>
  <c r="K31" i="95"/>
  <c r="J31" i="95"/>
  <c r="I31" i="95"/>
  <c r="H31" i="95"/>
  <c r="G31" i="95"/>
  <c r="F31" i="95"/>
  <c r="E31" i="95"/>
  <c r="D31" i="95"/>
  <c r="B31" i="95"/>
  <c r="Q30" i="95"/>
  <c r="B30" i="95"/>
  <c r="Q29" i="95"/>
  <c r="B29" i="95"/>
  <c r="Q28" i="95"/>
  <c r="B28" i="95"/>
  <c r="Q27" i="95"/>
  <c r="B27" i="95"/>
  <c r="Q26" i="95"/>
  <c r="B26" i="95"/>
  <c r="Q25" i="95"/>
  <c r="B25" i="95"/>
  <c r="Q24" i="95"/>
  <c r="B24" i="95"/>
  <c r="Q23" i="95"/>
  <c r="B23" i="95"/>
  <c r="Q22" i="95"/>
  <c r="B22" i="95"/>
  <c r="Q21" i="95"/>
  <c r="B21" i="95"/>
  <c r="O20" i="95"/>
  <c r="N20" i="95"/>
  <c r="M20" i="95"/>
  <c r="L20" i="95"/>
  <c r="L19" i="95" s="1"/>
  <c r="K20" i="95"/>
  <c r="J20" i="95"/>
  <c r="I20" i="95"/>
  <c r="H20" i="95"/>
  <c r="G20" i="95"/>
  <c r="F20" i="95"/>
  <c r="E20" i="95"/>
  <c r="D20" i="95"/>
  <c r="Q20" i="95" s="1"/>
  <c r="B20" i="95"/>
  <c r="O19" i="95"/>
  <c r="M19" i="95"/>
  <c r="K19" i="95"/>
  <c r="I19" i="95"/>
  <c r="G19" i="95"/>
  <c r="E19" i="95"/>
  <c r="O17" i="95"/>
  <c r="Q14" i="95"/>
  <c r="O14" i="95"/>
  <c r="N14" i="95"/>
  <c r="M14" i="95"/>
  <c r="L14" i="95"/>
  <c r="K14" i="95"/>
  <c r="J14" i="95"/>
  <c r="I14" i="95"/>
  <c r="H14" i="95"/>
  <c r="G14" i="95"/>
  <c r="F14" i="95"/>
  <c r="E14" i="95"/>
  <c r="D14" i="95"/>
  <c r="M12" i="95"/>
  <c r="L12" i="95"/>
  <c r="K12" i="95"/>
  <c r="J12" i="95"/>
  <c r="I12" i="95"/>
  <c r="H12" i="95"/>
  <c r="G12" i="95"/>
  <c r="F12" i="95"/>
  <c r="E12" i="95"/>
  <c r="D12" i="95"/>
  <c r="Q12" i="95" s="1"/>
  <c r="B12" i="95"/>
  <c r="M11" i="95"/>
  <c r="L11" i="95"/>
  <c r="K11" i="95"/>
  <c r="K10" i="95" s="1"/>
  <c r="K16" i="95" s="1"/>
  <c r="J11" i="95"/>
  <c r="I11" i="95"/>
  <c r="H11" i="95"/>
  <c r="G11" i="95"/>
  <c r="G10" i="95" s="1"/>
  <c r="G16" i="95" s="1"/>
  <c r="F11" i="95"/>
  <c r="E11" i="95"/>
  <c r="D11" i="95"/>
  <c r="B11" i="95"/>
  <c r="O10" i="95"/>
  <c r="O16" i="95" s="1"/>
  <c r="O69" i="95" s="1"/>
  <c r="O70" i="95" s="1"/>
  <c r="N10" i="95"/>
  <c r="N16" i="95" s="1"/>
  <c r="M10" i="95"/>
  <c r="M16" i="95" s="1"/>
  <c r="L10" i="95"/>
  <c r="L16" i="95" s="1"/>
  <c r="J10" i="95"/>
  <c r="J16" i="95" s="1"/>
  <c r="I10" i="95"/>
  <c r="I16" i="95" s="1"/>
  <c r="H10" i="95"/>
  <c r="H16" i="95" s="1"/>
  <c r="F10" i="95"/>
  <c r="F16" i="95" s="1"/>
  <c r="F17" i="95" s="1"/>
  <c r="E10" i="95"/>
  <c r="E16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24" i="94"/>
  <c r="N21" i="94"/>
  <c r="M19" i="94"/>
  <c r="L19" i="94"/>
  <c r="K19" i="94"/>
  <c r="J19" i="94"/>
  <c r="I19" i="94"/>
  <c r="H19" i="94"/>
  <c r="G19" i="94"/>
  <c r="F19" i="94"/>
  <c r="E19" i="94"/>
  <c r="Q19" i="94" s="1"/>
  <c r="D19" i="94"/>
  <c r="Q17" i="94"/>
  <c r="O17" i="94"/>
  <c r="N17" i="94"/>
  <c r="M17" i="94"/>
  <c r="L17" i="94"/>
  <c r="K17" i="94"/>
  <c r="J17" i="94"/>
  <c r="I17" i="94"/>
  <c r="H17" i="94"/>
  <c r="G17" i="94"/>
  <c r="F17" i="94"/>
  <c r="E17" i="94"/>
  <c r="D17" i="94"/>
  <c r="O15" i="94"/>
  <c r="Q14" i="94"/>
  <c r="D14" i="94"/>
  <c r="Q12" i="94"/>
  <c r="O12" i="94"/>
  <c r="N12" i="94"/>
  <c r="M12" i="94"/>
  <c r="L12" i="94"/>
  <c r="K12" i="94"/>
  <c r="J12" i="94"/>
  <c r="I12" i="94"/>
  <c r="H12" i="94"/>
  <c r="G12" i="94"/>
  <c r="F12" i="94"/>
  <c r="E12" i="94"/>
  <c r="D12" i="94"/>
  <c r="Q10" i="94"/>
  <c r="O10" i="94"/>
  <c r="O14" i="94" s="1"/>
  <c r="O21" i="94" s="1"/>
  <c r="N10" i="94"/>
  <c r="N14" i="94" s="1"/>
  <c r="N15" i="94" s="1"/>
  <c r="M10" i="94"/>
  <c r="M14" i="94" s="1"/>
  <c r="L10" i="94"/>
  <c r="L14" i="94" s="1"/>
  <c r="K10" i="94"/>
  <c r="K14" i="94" s="1"/>
  <c r="J10" i="94"/>
  <c r="J14" i="94" s="1"/>
  <c r="I10" i="94"/>
  <c r="I14" i="94" s="1"/>
  <c r="H10" i="94"/>
  <c r="H14" i="94" s="1"/>
  <c r="G10" i="94"/>
  <c r="G14" i="94" s="1"/>
  <c r="F10" i="94"/>
  <c r="F14" i="94" s="1"/>
  <c r="E10" i="94"/>
  <c r="D10" i="94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86" i="93"/>
  <c r="M81" i="93"/>
  <c r="L81" i="93"/>
  <c r="K81" i="93"/>
  <c r="J81" i="93"/>
  <c r="I81" i="93"/>
  <c r="H81" i="93"/>
  <c r="G81" i="93"/>
  <c r="F81" i="93"/>
  <c r="E81" i="93"/>
  <c r="Q81" i="93" s="1"/>
  <c r="D81" i="93"/>
  <c r="Q79" i="93"/>
  <c r="B79" i="93"/>
  <c r="O78" i="93"/>
  <c r="N78" i="93"/>
  <c r="M78" i="93"/>
  <c r="L78" i="93"/>
  <c r="K78" i="93"/>
  <c r="J78" i="93"/>
  <c r="I78" i="93"/>
  <c r="H78" i="93"/>
  <c r="G78" i="93"/>
  <c r="F78" i="93"/>
  <c r="E78" i="93"/>
  <c r="D78" i="93"/>
  <c r="D20" i="93" s="1"/>
  <c r="B78" i="93"/>
  <c r="Q77" i="93"/>
  <c r="B77" i="93"/>
  <c r="Q76" i="93"/>
  <c r="B76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B75" i="93"/>
  <c r="Q74" i="93"/>
  <c r="B74" i="93"/>
  <c r="Q73" i="93"/>
  <c r="B73" i="93"/>
  <c r="Q72" i="93"/>
  <c r="B72" i="93"/>
  <c r="Q71" i="93"/>
  <c r="B71" i="93"/>
  <c r="Q70" i="93"/>
  <c r="B70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Q69" i="93" s="1"/>
  <c r="B69" i="93"/>
  <c r="Q68" i="93"/>
  <c r="B68" i="93"/>
  <c r="Q67" i="93"/>
  <c r="B67" i="93"/>
  <c r="Q66" i="93"/>
  <c r="B66" i="93"/>
  <c r="O65" i="93"/>
  <c r="N65" i="93"/>
  <c r="M65" i="93"/>
  <c r="L65" i="93"/>
  <c r="K65" i="93"/>
  <c r="J65" i="93"/>
  <c r="I65" i="93"/>
  <c r="H65" i="93"/>
  <c r="G65" i="93"/>
  <c r="F65" i="93"/>
  <c r="E65" i="93"/>
  <c r="D65" i="93"/>
  <c r="Q65" i="93" s="1"/>
  <c r="B65" i="93"/>
  <c r="Q64" i="93"/>
  <c r="B64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Q63" i="93" s="1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Q61" i="93" s="1"/>
  <c r="B61" i="93"/>
  <c r="Q60" i="93"/>
  <c r="B60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Q59" i="93" s="1"/>
  <c r="B59" i="93"/>
  <c r="Q58" i="93"/>
  <c r="B58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Q57" i="93" s="1"/>
  <c r="B57" i="93"/>
  <c r="Q56" i="93"/>
  <c r="B56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Q55" i="93" s="1"/>
  <c r="B55" i="93"/>
  <c r="Q54" i="93"/>
  <c r="B54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Q53" i="93" s="1"/>
  <c r="B53" i="93"/>
  <c r="Q52" i="93"/>
  <c r="B52" i="93"/>
  <c r="O51" i="93"/>
  <c r="N51" i="93"/>
  <c r="M51" i="93"/>
  <c r="L51" i="93"/>
  <c r="K51" i="93"/>
  <c r="J51" i="93"/>
  <c r="I51" i="93"/>
  <c r="H51" i="93"/>
  <c r="G51" i="93"/>
  <c r="F51" i="93"/>
  <c r="E51" i="93"/>
  <c r="D51" i="93"/>
  <c r="B51" i="93"/>
  <c r="Q50" i="93"/>
  <c r="B50" i="93"/>
  <c r="O49" i="93"/>
  <c r="N49" i="93"/>
  <c r="M49" i="93"/>
  <c r="L49" i="93"/>
  <c r="K49" i="93"/>
  <c r="J49" i="93"/>
  <c r="I49" i="93"/>
  <c r="H49" i="93"/>
  <c r="G49" i="93"/>
  <c r="F49" i="93"/>
  <c r="E49" i="93"/>
  <c r="D49" i="93"/>
  <c r="B49" i="93"/>
  <c r="Q48" i="93"/>
  <c r="B48" i="93"/>
  <c r="O47" i="93"/>
  <c r="N47" i="93"/>
  <c r="M47" i="93"/>
  <c r="L47" i="93"/>
  <c r="K47" i="93"/>
  <c r="J47" i="93"/>
  <c r="I47" i="93"/>
  <c r="H47" i="93"/>
  <c r="G47" i="93"/>
  <c r="F47" i="93"/>
  <c r="F20" i="93" s="1"/>
  <c r="E47" i="93"/>
  <c r="D47" i="93"/>
  <c r="Q47" i="93" s="1"/>
  <c r="B47" i="93"/>
  <c r="Q46" i="93"/>
  <c r="B46" i="93"/>
  <c r="O45" i="93"/>
  <c r="N45" i="93"/>
  <c r="M45" i="93"/>
  <c r="L45" i="93"/>
  <c r="K45" i="93"/>
  <c r="J45" i="93"/>
  <c r="I45" i="93"/>
  <c r="H45" i="93"/>
  <c r="G45" i="93"/>
  <c r="F45" i="93"/>
  <c r="E45" i="93"/>
  <c r="D45" i="93"/>
  <c r="B45" i="93"/>
  <c r="Q44" i="93"/>
  <c r="B44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Q43" i="93" s="1"/>
  <c r="B43" i="93"/>
  <c r="Q42" i="93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Q32" i="93" s="1"/>
  <c r="B32" i="93"/>
  <c r="Q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N21" i="93"/>
  <c r="M21" i="93"/>
  <c r="L21" i="93"/>
  <c r="K21" i="93"/>
  <c r="J21" i="93"/>
  <c r="J20" i="93" s="1"/>
  <c r="I21" i="93"/>
  <c r="H21" i="93"/>
  <c r="G21" i="93"/>
  <c r="F21" i="93"/>
  <c r="E21" i="93"/>
  <c r="D21" i="93"/>
  <c r="Q21" i="93" s="1"/>
  <c r="B21" i="93"/>
  <c r="O20" i="93"/>
  <c r="M20" i="93"/>
  <c r="L20" i="93"/>
  <c r="K20" i="93"/>
  <c r="I20" i="93"/>
  <c r="H20" i="93"/>
  <c r="G20" i="93"/>
  <c r="E20" i="93"/>
  <c r="M18" i="93"/>
  <c r="N17" i="93"/>
  <c r="Q15" i="93"/>
  <c r="Q14" i="93" s="1"/>
  <c r="B15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M12" i="93"/>
  <c r="L12" i="93"/>
  <c r="K12" i="93"/>
  <c r="J12" i="93"/>
  <c r="I12" i="93"/>
  <c r="H12" i="93"/>
  <c r="G12" i="93"/>
  <c r="F12" i="93"/>
  <c r="E12" i="93"/>
  <c r="D12" i="93"/>
  <c r="Q12" i="93" s="1"/>
  <c r="B12" i="93"/>
  <c r="M11" i="93"/>
  <c r="L11" i="93"/>
  <c r="K11" i="93"/>
  <c r="J11" i="93"/>
  <c r="I11" i="93"/>
  <c r="H11" i="93"/>
  <c r="H10" i="93" s="1"/>
  <c r="H17" i="93" s="1"/>
  <c r="G11" i="93"/>
  <c r="F11" i="93"/>
  <c r="E11" i="93"/>
  <c r="D11" i="93"/>
  <c r="B11" i="93"/>
  <c r="O10" i="93"/>
  <c r="O17" i="93" s="1"/>
  <c r="N10" i="93"/>
  <c r="M10" i="93"/>
  <c r="M17" i="93" s="1"/>
  <c r="M83" i="93" s="1"/>
  <c r="M88" i="93" s="1"/>
  <c r="L10" i="93"/>
  <c r="L17" i="93" s="1"/>
  <c r="K10" i="93"/>
  <c r="K17" i="93" s="1"/>
  <c r="J10" i="93"/>
  <c r="J17" i="93" s="1"/>
  <c r="I10" i="93"/>
  <c r="I17" i="93" s="1"/>
  <c r="G10" i="93"/>
  <c r="G17" i="93" s="1"/>
  <c r="F10" i="93"/>
  <c r="F17" i="93" s="1"/>
  <c r="E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97" i="92"/>
  <c r="M92" i="92"/>
  <c r="L92" i="92"/>
  <c r="K92" i="92"/>
  <c r="J92" i="92"/>
  <c r="I92" i="92"/>
  <c r="H92" i="92"/>
  <c r="G92" i="92"/>
  <c r="F92" i="92"/>
  <c r="E92" i="92"/>
  <c r="D92" i="92"/>
  <c r="Q90" i="92"/>
  <c r="B90" i="92"/>
  <c r="O89" i="92"/>
  <c r="N89" i="92"/>
  <c r="M89" i="92"/>
  <c r="L89" i="92"/>
  <c r="K89" i="92"/>
  <c r="J89" i="92"/>
  <c r="I89" i="92"/>
  <c r="H89" i="92"/>
  <c r="G89" i="92"/>
  <c r="F89" i="92"/>
  <c r="E89" i="92"/>
  <c r="D89" i="92"/>
  <c r="Q89" i="92" s="1"/>
  <c r="B89" i="92"/>
  <c r="Q88" i="92"/>
  <c r="B88" i="92"/>
  <c r="O87" i="92"/>
  <c r="N87" i="92"/>
  <c r="M87" i="92"/>
  <c r="L87" i="92"/>
  <c r="K87" i="92"/>
  <c r="J87" i="92"/>
  <c r="I87" i="92"/>
  <c r="H87" i="92"/>
  <c r="G87" i="92"/>
  <c r="F87" i="92"/>
  <c r="E87" i="92"/>
  <c r="D87" i="92"/>
  <c r="Q87" i="92" s="1"/>
  <c r="B87" i="92"/>
  <c r="Q86" i="92"/>
  <c r="B86" i="92"/>
  <c r="Q85" i="92"/>
  <c r="B85" i="92"/>
  <c r="O84" i="92"/>
  <c r="N84" i="92"/>
  <c r="M84" i="92"/>
  <c r="L84" i="92"/>
  <c r="K84" i="92"/>
  <c r="J84" i="92"/>
  <c r="I84" i="92"/>
  <c r="H84" i="92"/>
  <c r="G84" i="92"/>
  <c r="F84" i="92"/>
  <c r="E84" i="92"/>
  <c r="D84" i="92"/>
  <c r="Q84" i="92" s="1"/>
  <c r="B84" i="92"/>
  <c r="Q83" i="92"/>
  <c r="B83" i="92"/>
  <c r="Q82" i="92"/>
  <c r="B82" i="92"/>
  <c r="Q81" i="92"/>
  <c r="B81" i="92"/>
  <c r="Q80" i="92"/>
  <c r="B80" i="92"/>
  <c r="Q79" i="92"/>
  <c r="B79" i="92"/>
  <c r="Q78" i="92"/>
  <c r="B78" i="92"/>
  <c r="Q77" i="92"/>
  <c r="B77" i="92"/>
  <c r="Q76" i="92"/>
  <c r="B76" i="92"/>
  <c r="O75" i="92"/>
  <c r="N75" i="92"/>
  <c r="M75" i="92"/>
  <c r="L75" i="92"/>
  <c r="K75" i="92"/>
  <c r="J75" i="92"/>
  <c r="I75" i="92"/>
  <c r="H75" i="92"/>
  <c r="G75" i="92"/>
  <c r="F75" i="92"/>
  <c r="E75" i="92"/>
  <c r="D75" i="92"/>
  <c r="Q75" i="92" s="1"/>
  <c r="B75" i="92"/>
  <c r="Q74" i="92"/>
  <c r="B74" i="92"/>
  <c r="O73" i="92"/>
  <c r="N73" i="92"/>
  <c r="M73" i="92"/>
  <c r="L73" i="92"/>
  <c r="K73" i="92"/>
  <c r="J73" i="92"/>
  <c r="I73" i="92"/>
  <c r="H73" i="92"/>
  <c r="G73" i="92"/>
  <c r="F73" i="92"/>
  <c r="E73" i="92"/>
  <c r="D73" i="92"/>
  <c r="Q73" i="92" s="1"/>
  <c r="B73" i="92"/>
  <c r="Q72" i="92"/>
  <c r="B72" i="92"/>
  <c r="Q71" i="92"/>
  <c r="B71" i="92"/>
  <c r="Q70" i="92"/>
  <c r="B70" i="92"/>
  <c r="Q69" i="92"/>
  <c r="B69" i="92"/>
  <c r="O68" i="92"/>
  <c r="N68" i="92"/>
  <c r="M68" i="92"/>
  <c r="L68" i="92"/>
  <c r="K68" i="92"/>
  <c r="J68" i="92"/>
  <c r="J24" i="92" s="1"/>
  <c r="I68" i="92"/>
  <c r="H68" i="92"/>
  <c r="G68" i="92"/>
  <c r="F68" i="92"/>
  <c r="E68" i="92"/>
  <c r="D68" i="92"/>
  <c r="Q68" i="92" s="1"/>
  <c r="B68" i="92"/>
  <c r="Q67" i="92"/>
  <c r="B67" i="92"/>
  <c r="Q66" i="92"/>
  <c r="B66" i="92"/>
  <c r="O65" i="92"/>
  <c r="N65" i="92"/>
  <c r="M65" i="92"/>
  <c r="L65" i="92"/>
  <c r="K65" i="92"/>
  <c r="J65" i="92"/>
  <c r="I65" i="92"/>
  <c r="H65" i="92"/>
  <c r="G65" i="92"/>
  <c r="F65" i="92"/>
  <c r="E65" i="92"/>
  <c r="D65" i="92"/>
  <c r="Q65" i="92" s="1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Q59" i="92" s="1"/>
  <c r="B59" i="92"/>
  <c r="Q58" i="92"/>
  <c r="B58" i="92"/>
  <c r="O57" i="92"/>
  <c r="N57" i="92"/>
  <c r="M57" i="92"/>
  <c r="L57" i="92"/>
  <c r="K57" i="92"/>
  <c r="J57" i="92"/>
  <c r="I57" i="92"/>
  <c r="H57" i="92"/>
  <c r="G57" i="92"/>
  <c r="F57" i="92"/>
  <c r="E57" i="92"/>
  <c r="D57" i="92"/>
  <c r="B57" i="92"/>
  <c r="Q56" i="92"/>
  <c r="B56" i="92"/>
  <c r="O55" i="92"/>
  <c r="N55" i="92"/>
  <c r="M55" i="92"/>
  <c r="L55" i="92"/>
  <c r="K55" i="92"/>
  <c r="J55" i="92"/>
  <c r="I55" i="92"/>
  <c r="H55" i="92"/>
  <c r="G55" i="92"/>
  <c r="F55" i="92"/>
  <c r="E55" i="92"/>
  <c r="D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Q53" i="92" s="1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Q51" i="92" s="1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B47" i="92"/>
  <c r="Q46" i="92"/>
  <c r="B46" i="92"/>
  <c r="Q45" i="92"/>
  <c r="B45" i="92"/>
  <c r="Q44" i="92"/>
  <c r="B44" i="92"/>
  <c r="Q43" i="92"/>
  <c r="B43" i="92"/>
  <c r="Q42" i="92"/>
  <c r="B42" i="92"/>
  <c r="Q41" i="92"/>
  <c r="B41" i="92"/>
  <c r="Q40" i="92"/>
  <c r="B40" i="92"/>
  <c r="Q39" i="92"/>
  <c r="B39" i="92"/>
  <c r="Q38" i="92"/>
  <c r="B38" i="92"/>
  <c r="Q37" i="92"/>
  <c r="B37" i="92"/>
  <c r="O36" i="92"/>
  <c r="N36" i="92"/>
  <c r="N24" i="92" s="1"/>
  <c r="M36" i="92"/>
  <c r="L36" i="92"/>
  <c r="K36" i="92"/>
  <c r="J36" i="92"/>
  <c r="I36" i="92"/>
  <c r="H36" i="92"/>
  <c r="G36" i="92"/>
  <c r="F36" i="92"/>
  <c r="E36" i="92"/>
  <c r="D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Q29" i="92"/>
  <c r="B29" i="92"/>
  <c r="Q28" i="92"/>
  <c r="B28" i="92"/>
  <c r="Q27" i="92"/>
  <c r="B27" i="92"/>
  <c r="Q26" i="92"/>
  <c r="B26" i="92"/>
  <c r="O25" i="92"/>
  <c r="N25" i="92"/>
  <c r="M25" i="92"/>
  <c r="L25" i="92"/>
  <c r="K25" i="92"/>
  <c r="J25" i="92"/>
  <c r="I25" i="92"/>
  <c r="H25" i="92"/>
  <c r="G25" i="92"/>
  <c r="F25" i="92"/>
  <c r="E25" i="92"/>
  <c r="D25" i="92"/>
  <c r="Q25" i="92" s="1"/>
  <c r="B25" i="92"/>
  <c r="O24" i="92"/>
  <c r="M24" i="92"/>
  <c r="K24" i="92"/>
  <c r="I24" i="92"/>
  <c r="G24" i="92"/>
  <c r="F24" i="92"/>
  <c r="E24" i="92"/>
  <c r="O22" i="92"/>
  <c r="D21" i="92"/>
  <c r="Q19" i="92"/>
  <c r="B19" i="92"/>
  <c r="Q18" i="92"/>
  <c r="B18" i="92"/>
  <c r="Q17" i="92"/>
  <c r="Q16" i="92" s="1"/>
  <c r="B17" i="92"/>
  <c r="O16" i="92"/>
  <c r="N16" i="92"/>
  <c r="M16" i="92"/>
  <c r="L16" i="92"/>
  <c r="K16" i="92"/>
  <c r="J16" i="92"/>
  <c r="I16" i="92"/>
  <c r="H16" i="92"/>
  <c r="G16" i="92"/>
  <c r="F16" i="92"/>
  <c r="E16" i="92"/>
  <c r="D16" i="92"/>
  <c r="M14" i="92"/>
  <c r="L14" i="92"/>
  <c r="K14" i="92"/>
  <c r="J14" i="92"/>
  <c r="I14" i="92"/>
  <c r="H14" i="92"/>
  <c r="G14" i="92"/>
  <c r="F14" i="92"/>
  <c r="E14" i="92"/>
  <c r="D14" i="92"/>
  <c r="B14" i="92"/>
  <c r="M13" i="92"/>
  <c r="L13" i="92"/>
  <c r="K13" i="92"/>
  <c r="J13" i="92"/>
  <c r="I13" i="92"/>
  <c r="H13" i="92"/>
  <c r="G13" i="92"/>
  <c r="F13" i="92"/>
  <c r="E13" i="92"/>
  <c r="D13" i="92"/>
  <c r="Q13" i="92" s="1"/>
  <c r="B13" i="92"/>
  <c r="M12" i="92"/>
  <c r="L12" i="92"/>
  <c r="K12" i="92"/>
  <c r="J12" i="92"/>
  <c r="I12" i="92"/>
  <c r="H12" i="92"/>
  <c r="G12" i="92"/>
  <c r="F12" i="92"/>
  <c r="E12" i="92"/>
  <c r="D12" i="92"/>
  <c r="B12" i="92"/>
  <c r="M11" i="92"/>
  <c r="L11" i="92"/>
  <c r="K11" i="92"/>
  <c r="J11" i="92"/>
  <c r="I11" i="92"/>
  <c r="H11" i="92"/>
  <c r="G11" i="92"/>
  <c r="G10" i="92" s="1"/>
  <c r="G21" i="92" s="1"/>
  <c r="F11" i="92"/>
  <c r="E11" i="92"/>
  <c r="D11" i="92"/>
  <c r="B11" i="92"/>
  <c r="O10" i="92"/>
  <c r="O21" i="92" s="1"/>
  <c r="O94" i="92" s="1"/>
  <c r="N10" i="92"/>
  <c r="N21" i="92" s="1"/>
  <c r="N22" i="92" s="1"/>
  <c r="M10" i="92"/>
  <c r="M21" i="92" s="1"/>
  <c r="L10" i="92"/>
  <c r="L21" i="92" s="1"/>
  <c r="K10" i="92"/>
  <c r="I10" i="92"/>
  <c r="I21" i="92" s="1"/>
  <c r="H10" i="92"/>
  <c r="H21" i="92" s="1"/>
  <c r="F10" i="92"/>
  <c r="F21" i="92" s="1"/>
  <c r="E10" i="92"/>
  <c r="E21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26" i="91"/>
  <c r="M21" i="91"/>
  <c r="L21" i="91"/>
  <c r="K21" i="91"/>
  <c r="J21" i="91"/>
  <c r="I21" i="91"/>
  <c r="H21" i="91"/>
  <c r="G21" i="91"/>
  <c r="F21" i="91"/>
  <c r="E21" i="91"/>
  <c r="Q21" i="91" s="1"/>
  <c r="D21" i="91"/>
  <c r="Q19" i="91"/>
  <c r="B19" i="91"/>
  <c r="O18" i="91"/>
  <c r="O17" i="91" s="1"/>
  <c r="N18" i="91"/>
  <c r="N17" i="91" s="1"/>
  <c r="M18" i="91"/>
  <c r="L18" i="91"/>
  <c r="K18" i="91"/>
  <c r="J18" i="91"/>
  <c r="J17" i="91" s="1"/>
  <c r="I18" i="91"/>
  <c r="H18" i="91"/>
  <c r="G18" i="91"/>
  <c r="F18" i="91"/>
  <c r="E18" i="91"/>
  <c r="D18" i="91"/>
  <c r="B18" i="91"/>
  <c r="M17" i="91"/>
  <c r="L17" i="91"/>
  <c r="K17" i="91"/>
  <c r="I17" i="91"/>
  <c r="H17" i="91"/>
  <c r="G17" i="91"/>
  <c r="F17" i="91"/>
  <c r="E17" i="91"/>
  <c r="D17" i="91"/>
  <c r="N14" i="91"/>
  <c r="F14" i="91"/>
  <c r="F23" i="91" s="1"/>
  <c r="Q12" i="91"/>
  <c r="O12" i="91"/>
  <c r="N12" i="91"/>
  <c r="M12" i="91"/>
  <c r="L12" i="91"/>
  <c r="K12" i="91"/>
  <c r="J12" i="91"/>
  <c r="I12" i="91"/>
  <c r="H12" i="91"/>
  <c r="G12" i="91"/>
  <c r="G14" i="91" s="1"/>
  <c r="F12" i="91"/>
  <c r="E12" i="91"/>
  <c r="D12" i="91"/>
  <c r="Q10" i="91"/>
  <c r="Q14" i="91" s="1"/>
  <c r="O10" i="91"/>
  <c r="N10" i="91"/>
  <c r="M10" i="91"/>
  <c r="M14" i="91" s="1"/>
  <c r="M23" i="91" s="1"/>
  <c r="L10" i="91"/>
  <c r="L14" i="91" s="1"/>
  <c r="K10" i="91"/>
  <c r="K14" i="91" s="1"/>
  <c r="J10" i="91"/>
  <c r="J14" i="91" s="1"/>
  <c r="I10" i="91"/>
  <c r="I14" i="91" s="1"/>
  <c r="H10" i="91"/>
  <c r="H14" i="91" s="1"/>
  <c r="H15" i="91" s="1"/>
  <c r="G10" i="91"/>
  <c r="F10" i="91"/>
  <c r="E10" i="91"/>
  <c r="E14" i="91" s="1"/>
  <c r="D10" i="91"/>
  <c r="D14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1" i="90"/>
  <c r="M86" i="90"/>
  <c r="L86" i="90"/>
  <c r="K86" i="90"/>
  <c r="J86" i="90"/>
  <c r="I86" i="90"/>
  <c r="H86" i="90"/>
  <c r="G86" i="90"/>
  <c r="F86" i="90"/>
  <c r="E86" i="90"/>
  <c r="D86" i="90"/>
  <c r="Q86" i="90" s="1"/>
  <c r="Q84" i="90"/>
  <c r="B84" i="90"/>
  <c r="O83" i="90"/>
  <c r="N83" i="90"/>
  <c r="N24" i="90" s="1"/>
  <c r="M83" i="90"/>
  <c r="L83" i="90"/>
  <c r="K83" i="90"/>
  <c r="J83" i="90"/>
  <c r="I83" i="90"/>
  <c r="H83" i="90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G81" i="90"/>
  <c r="F81" i="90"/>
  <c r="E81" i="90"/>
  <c r="D81" i="90"/>
  <c r="Q81" i="90" s="1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H68" i="90"/>
  <c r="G68" i="90"/>
  <c r="F68" i="90"/>
  <c r="E68" i="90"/>
  <c r="D68" i="90"/>
  <c r="Q68" i="90" s="1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Q61" i="90" s="1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J24" i="90" s="1"/>
  <c r="I57" i="90"/>
  <c r="H57" i="90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G24" i="90" s="1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Q49" i="90" s="1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M24" i="90" s="1"/>
  <c r="L36" i="90"/>
  <c r="K36" i="90"/>
  <c r="J36" i="90"/>
  <c r="I36" i="90"/>
  <c r="H36" i="90"/>
  <c r="G36" i="90"/>
  <c r="F36" i="90"/>
  <c r="E36" i="90"/>
  <c r="D36" i="90"/>
  <c r="Q36" i="90" s="1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O24" i="90" s="1"/>
  <c r="N25" i="90"/>
  <c r="M25" i="90"/>
  <c r="L25" i="90"/>
  <c r="K25" i="90"/>
  <c r="K24" i="90" s="1"/>
  <c r="J25" i="90"/>
  <c r="I25" i="90"/>
  <c r="I24" i="90" s="1"/>
  <c r="H25" i="90"/>
  <c r="G25" i="90"/>
  <c r="F25" i="90"/>
  <c r="E25" i="90"/>
  <c r="D25" i="90"/>
  <c r="B25" i="90"/>
  <c r="L24" i="90"/>
  <c r="H24" i="90"/>
  <c r="F24" i="90"/>
  <c r="E24" i="90"/>
  <c r="N22" i="90"/>
  <c r="O21" i="90"/>
  <c r="Q19" i="90"/>
  <c r="B19" i="90"/>
  <c r="Q18" i="90"/>
  <c r="B18" i="90"/>
  <c r="Q17" i="90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M14" i="90"/>
  <c r="L14" i="90"/>
  <c r="K14" i="90"/>
  <c r="J14" i="90"/>
  <c r="I14" i="90"/>
  <c r="H14" i="90"/>
  <c r="G14" i="90"/>
  <c r="F14" i="90"/>
  <c r="E14" i="90"/>
  <c r="D14" i="90"/>
  <c r="B14" i="90"/>
  <c r="M13" i="90"/>
  <c r="L13" i="90"/>
  <c r="K13" i="90"/>
  <c r="J13" i="90"/>
  <c r="I13" i="90"/>
  <c r="H13" i="90"/>
  <c r="G13" i="90"/>
  <c r="F13" i="90"/>
  <c r="E13" i="90"/>
  <c r="D13" i="90"/>
  <c r="Q13" i="90" s="1"/>
  <c r="B13" i="90"/>
  <c r="M12" i="90"/>
  <c r="L12" i="90"/>
  <c r="K12" i="90"/>
  <c r="J12" i="90"/>
  <c r="I12" i="90"/>
  <c r="H12" i="90"/>
  <c r="G12" i="90"/>
  <c r="F12" i="90"/>
  <c r="E12" i="90"/>
  <c r="D12" i="90"/>
  <c r="B12" i="90"/>
  <c r="M11" i="90"/>
  <c r="M10" i="90" s="1"/>
  <c r="M21" i="90" s="1"/>
  <c r="L11" i="90"/>
  <c r="L10" i="90" s="1"/>
  <c r="L21" i="90" s="1"/>
  <c r="K11" i="90"/>
  <c r="J11" i="90"/>
  <c r="I11" i="90"/>
  <c r="H11" i="90"/>
  <c r="H10" i="90" s="1"/>
  <c r="H21" i="90" s="1"/>
  <c r="G11" i="90"/>
  <c r="G10" i="90" s="1"/>
  <c r="G21" i="90" s="1"/>
  <c r="F11" i="90"/>
  <c r="E11" i="90"/>
  <c r="D11" i="90"/>
  <c r="Q11" i="90" s="1"/>
  <c r="B11" i="90"/>
  <c r="O10" i="90"/>
  <c r="N10" i="90"/>
  <c r="N21" i="90" s="1"/>
  <c r="K10" i="90"/>
  <c r="K21" i="90" s="1"/>
  <c r="J10" i="90"/>
  <c r="F10" i="90"/>
  <c r="F21" i="90" s="1"/>
  <c r="E10" i="90"/>
  <c r="E21" i="90" s="1"/>
  <c r="D10" i="90"/>
  <c r="D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60" i="89"/>
  <c r="M55" i="89"/>
  <c r="L55" i="89"/>
  <c r="K55" i="89"/>
  <c r="J55" i="89"/>
  <c r="I55" i="89"/>
  <c r="H55" i="89"/>
  <c r="G55" i="89"/>
  <c r="F55" i="89"/>
  <c r="E55" i="89"/>
  <c r="D55" i="89"/>
  <c r="Q53" i="89"/>
  <c r="B53" i="89"/>
  <c r="O52" i="89"/>
  <c r="N52" i="89"/>
  <c r="M52" i="89"/>
  <c r="L52" i="89"/>
  <c r="K52" i="89"/>
  <c r="J52" i="89"/>
  <c r="I52" i="89"/>
  <c r="H52" i="89"/>
  <c r="G52" i="89"/>
  <c r="F52" i="89"/>
  <c r="E52" i="89"/>
  <c r="D52" i="89"/>
  <c r="B52" i="89"/>
  <c r="Q51" i="89"/>
  <c r="B51" i="89"/>
  <c r="O50" i="89"/>
  <c r="N50" i="89"/>
  <c r="M50" i="89"/>
  <c r="L50" i="89"/>
  <c r="K50" i="89"/>
  <c r="J50" i="89"/>
  <c r="I50" i="89"/>
  <c r="H50" i="89"/>
  <c r="G50" i="89"/>
  <c r="F50" i="89"/>
  <c r="E50" i="89"/>
  <c r="D50" i="89"/>
  <c r="Q50" i="89" s="1"/>
  <c r="B50" i="89"/>
  <c r="Q49" i="89"/>
  <c r="B49" i="89"/>
  <c r="Q48" i="89"/>
  <c r="B48" i="89"/>
  <c r="O47" i="89"/>
  <c r="N47" i="89"/>
  <c r="M47" i="89"/>
  <c r="L47" i="89"/>
  <c r="K47" i="89"/>
  <c r="J47" i="89"/>
  <c r="I47" i="89"/>
  <c r="H47" i="89"/>
  <c r="G47" i="89"/>
  <c r="F47" i="89"/>
  <c r="E47" i="89"/>
  <c r="D47" i="89"/>
  <c r="B47" i="89"/>
  <c r="Q46" i="89"/>
  <c r="B46" i="89"/>
  <c r="Q45" i="89"/>
  <c r="B45" i="89"/>
  <c r="Q44" i="89"/>
  <c r="B44" i="89"/>
  <c r="O43" i="89"/>
  <c r="N43" i="89"/>
  <c r="M43" i="89"/>
  <c r="L43" i="89"/>
  <c r="K43" i="89"/>
  <c r="J43" i="89"/>
  <c r="I43" i="89"/>
  <c r="H43" i="89"/>
  <c r="G43" i="89"/>
  <c r="F43" i="89"/>
  <c r="E43" i="89"/>
  <c r="D43" i="89"/>
  <c r="Q43" i="89" s="1"/>
  <c r="B43" i="89"/>
  <c r="Q42" i="89"/>
  <c r="B42" i="89"/>
  <c r="O41" i="89"/>
  <c r="N41" i="89"/>
  <c r="M41" i="89"/>
  <c r="L41" i="89"/>
  <c r="K41" i="89"/>
  <c r="J41" i="89"/>
  <c r="I41" i="89"/>
  <c r="H41" i="89"/>
  <c r="G41" i="89"/>
  <c r="F41" i="89"/>
  <c r="E41" i="89"/>
  <c r="D41" i="89"/>
  <c r="B41" i="89"/>
  <c r="Q40" i="89"/>
  <c r="B40" i="89"/>
  <c r="O39" i="89"/>
  <c r="O17" i="89" s="1"/>
  <c r="N39" i="89"/>
  <c r="M39" i="89"/>
  <c r="L39" i="89"/>
  <c r="K39" i="89"/>
  <c r="K17" i="89" s="1"/>
  <c r="J39" i="89"/>
  <c r="I39" i="89"/>
  <c r="H39" i="89"/>
  <c r="G39" i="89"/>
  <c r="F39" i="89"/>
  <c r="E39" i="89"/>
  <c r="D39" i="89"/>
  <c r="Q39" i="89" s="1"/>
  <c r="B39" i="89"/>
  <c r="Q38" i="89"/>
  <c r="B38" i="89"/>
  <c r="Q37" i="89"/>
  <c r="B37" i="89"/>
  <c r="Q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O28" i="89"/>
  <c r="N28" i="89"/>
  <c r="M28" i="89"/>
  <c r="M17" i="89" s="1"/>
  <c r="L28" i="89"/>
  <c r="K28" i="89"/>
  <c r="J28" i="89"/>
  <c r="I28" i="89"/>
  <c r="H28" i="89"/>
  <c r="G28" i="89"/>
  <c r="F28" i="89"/>
  <c r="E28" i="89"/>
  <c r="D28" i="89"/>
  <c r="B28" i="89"/>
  <c r="Q27" i="89"/>
  <c r="B27" i="89"/>
  <c r="Q26" i="89"/>
  <c r="B26" i="89"/>
  <c r="Q25" i="89"/>
  <c r="B25" i="89"/>
  <c r="Q24" i="89"/>
  <c r="B24" i="89"/>
  <c r="Q23" i="89"/>
  <c r="B23" i="89"/>
  <c r="Q22" i="89"/>
  <c r="B22" i="89"/>
  <c r="Q21" i="89"/>
  <c r="B21" i="89"/>
  <c r="Q20" i="89"/>
  <c r="B20" i="89"/>
  <c r="Q19" i="89"/>
  <c r="B19" i="89"/>
  <c r="O18" i="89"/>
  <c r="N18" i="89"/>
  <c r="M18" i="89"/>
  <c r="L18" i="89"/>
  <c r="K18" i="89"/>
  <c r="J18" i="89"/>
  <c r="I18" i="89"/>
  <c r="H18" i="89"/>
  <c r="G18" i="89"/>
  <c r="F18" i="89"/>
  <c r="E18" i="89"/>
  <c r="E17" i="89" s="1"/>
  <c r="D18" i="89"/>
  <c r="Q18" i="89" s="1"/>
  <c r="B18" i="89"/>
  <c r="N17" i="89"/>
  <c r="L17" i="89"/>
  <c r="J17" i="89"/>
  <c r="H17" i="89"/>
  <c r="G17" i="89"/>
  <c r="G57" i="89" s="1"/>
  <c r="F17" i="89"/>
  <c r="D17" i="89"/>
  <c r="M14" i="89"/>
  <c r="I14" i="89"/>
  <c r="G14" i="89"/>
  <c r="G15" i="89" s="1"/>
  <c r="Q12" i="89"/>
  <c r="O12" i="89"/>
  <c r="N12" i="89"/>
  <c r="M12" i="89"/>
  <c r="L12" i="89"/>
  <c r="K12" i="89"/>
  <c r="J12" i="89"/>
  <c r="I12" i="89"/>
  <c r="H12" i="89"/>
  <c r="G12" i="89"/>
  <c r="F12" i="89"/>
  <c r="F14" i="89" s="1"/>
  <c r="E12" i="89"/>
  <c r="D12" i="89"/>
  <c r="Q10" i="89"/>
  <c r="Q14" i="89" s="1"/>
  <c r="O10" i="89"/>
  <c r="O14" i="89" s="1"/>
  <c r="N10" i="89"/>
  <c r="N14" i="89" s="1"/>
  <c r="M10" i="89"/>
  <c r="L10" i="89"/>
  <c r="L14" i="89" s="1"/>
  <c r="K10" i="89"/>
  <c r="K14" i="89" s="1"/>
  <c r="J10" i="89"/>
  <c r="J14" i="89" s="1"/>
  <c r="I10" i="89"/>
  <c r="H10" i="89"/>
  <c r="H14" i="89" s="1"/>
  <c r="H57" i="89" s="1"/>
  <c r="G10" i="89"/>
  <c r="F10" i="89"/>
  <c r="E10" i="89"/>
  <c r="E14" i="89" s="1"/>
  <c r="D10" i="89"/>
  <c r="D14" i="89" s="1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42" i="88"/>
  <c r="M37" i="88"/>
  <c r="L37" i="88"/>
  <c r="K37" i="88"/>
  <c r="J37" i="88"/>
  <c r="I37" i="88"/>
  <c r="H37" i="88"/>
  <c r="G37" i="88"/>
  <c r="F37" i="88"/>
  <c r="E37" i="88"/>
  <c r="D37" i="88"/>
  <c r="Q35" i="88"/>
  <c r="B35" i="88"/>
  <c r="O34" i="88"/>
  <c r="N34" i="88"/>
  <c r="M34" i="88"/>
  <c r="M18" i="88" s="1"/>
  <c r="L34" i="88"/>
  <c r="K34" i="88"/>
  <c r="J34" i="88"/>
  <c r="I34" i="88"/>
  <c r="I18" i="88" s="1"/>
  <c r="H34" i="88"/>
  <c r="G34" i="88"/>
  <c r="F34" i="88"/>
  <c r="E34" i="88"/>
  <c r="D34" i="88"/>
  <c r="B34" i="88"/>
  <c r="Q33" i="88"/>
  <c r="B33" i="88"/>
  <c r="Q32" i="88"/>
  <c r="B32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Q31" i="88" s="1"/>
  <c r="B31" i="88"/>
  <c r="Q30" i="88"/>
  <c r="B30" i="88"/>
  <c r="O29" i="88"/>
  <c r="N29" i="88"/>
  <c r="M29" i="88"/>
  <c r="L29" i="88"/>
  <c r="K29" i="88"/>
  <c r="J29" i="88"/>
  <c r="I29" i="88"/>
  <c r="H29" i="88"/>
  <c r="G29" i="88"/>
  <c r="F29" i="88"/>
  <c r="E29" i="88"/>
  <c r="D29" i="88"/>
  <c r="B29" i="88"/>
  <c r="Q28" i="88"/>
  <c r="B28" i="88"/>
  <c r="O27" i="88"/>
  <c r="N27" i="88"/>
  <c r="M27" i="88"/>
  <c r="L27" i="88"/>
  <c r="K27" i="88"/>
  <c r="K18" i="88" s="1"/>
  <c r="J27" i="88"/>
  <c r="I27" i="88"/>
  <c r="H27" i="88"/>
  <c r="G27" i="88"/>
  <c r="F27" i="88"/>
  <c r="E27" i="88"/>
  <c r="D27" i="88"/>
  <c r="Q27" i="88" s="1"/>
  <c r="B27" i="88"/>
  <c r="Q26" i="88"/>
  <c r="B26" i="88"/>
  <c r="O25" i="88"/>
  <c r="N25" i="88"/>
  <c r="M25" i="88"/>
  <c r="L25" i="88"/>
  <c r="K25" i="88"/>
  <c r="J25" i="88"/>
  <c r="I25" i="88"/>
  <c r="H25" i="88"/>
  <c r="G25" i="88"/>
  <c r="F25" i="88"/>
  <c r="E25" i="88"/>
  <c r="D25" i="88"/>
  <c r="B25" i="88"/>
  <c r="Q24" i="88"/>
  <c r="B24" i="88"/>
  <c r="Q23" i="88"/>
  <c r="B23" i="88"/>
  <c r="Q22" i="88"/>
  <c r="B22" i="88"/>
  <c r="Q21" i="88"/>
  <c r="B21" i="88"/>
  <c r="Q20" i="88"/>
  <c r="B20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Q19" i="88" s="1"/>
  <c r="B19" i="88"/>
  <c r="N18" i="88"/>
  <c r="L18" i="88"/>
  <c r="J18" i="88"/>
  <c r="H18" i="88"/>
  <c r="F18" i="88"/>
  <c r="E18" i="88"/>
  <c r="D18" i="88"/>
  <c r="F16" i="88"/>
  <c r="M15" i="88"/>
  <c r="M16" i="88" s="1"/>
  <c r="G15" i="88"/>
  <c r="G16" i="88" s="1"/>
  <c r="Q13" i="88"/>
  <c r="B13" i="88"/>
  <c r="Q12" i="88"/>
  <c r="O12" i="88"/>
  <c r="N12" i="88"/>
  <c r="M12" i="88"/>
  <c r="L12" i="88"/>
  <c r="K12" i="88"/>
  <c r="J12" i="88"/>
  <c r="I12" i="88"/>
  <c r="H12" i="88"/>
  <c r="G12" i="88"/>
  <c r="F12" i="88"/>
  <c r="E12" i="88"/>
  <c r="D12" i="88"/>
  <c r="Q10" i="88"/>
  <c r="Q15" i="88" s="1"/>
  <c r="O10" i="88"/>
  <c r="O15" i="88" s="1"/>
  <c r="N10" i="88"/>
  <c r="N15" i="88" s="1"/>
  <c r="M10" i="88"/>
  <c r="L10" i="88"/>
  <c r="L15" i="88" s="1"/>
  <c r="K10" i="88"/>
  <c r="K15" i="88" s="1"/>
  <c r="J10" i="88"/>
  <c r="I10" i="88"/>
  <c r="I15" i="88" s="1"/>
  <c r="H10" i="88"/>
  <c r="H15" i="88" s="1"/>
  <c r="G10" i="88"/>
  <c r="F10" i="88"/>
  <c r="F15" i="88" s="1"/>
  <c r="E10" i="88"/>
  <c r="E15" i="88" s="1"/>
  <c r="D10" i="88"/>
  <c r="D15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32" i="87"/>
  <c r="G29" i="87"/>
  <c r="M27" i="87"/>
  <c r="L27" i="87"/>
  <c r="K27" i="87"/>
  <c r="J27" i="87"/>
  <c r="I27" i="87"/>
  <c r="H27" i="87"/>
  <c r="G27" i="87"/>
  <c r="F27" i="87"/>
  <c r="E27" i="87"/>
  <c r="D27" i="87"/>
  <c r="Q25" i="87"/>
  <c r="B25" i="87"/>
  <c r="O24" i="87"/>
  <c r="N24" i="87"/>
  <c r="M24" i="87"/>
  <c r="L24" i="87"/>
  <c r="K24" i="87"/>
  <c r="J24" i="87"/>
  <c r="I24" i="87"/>
  <c r="H24" i="87"/>
  <c r="G24" i="87"/>
  <c r="F24" i="87"/>
  <c r="E24" i="87"/>
  <c r="D24" i="87"/>
  <c r="Q24" i="87" s="1"/>
  <c r="B24" i="87"/>
  <c r="Q23" i="87"/>
  <c r="B23" i="87"/>
  <c r="O22" i="87"/>
  <c r="N22" i="87"/>
  <c r="M22" i="87"/>
  <c r="L22" i="87"/>
  <c r="K22" i="87"/>
  <c r="J22" i="87"/>
  <c r="I22" i="87"/>
  <c r="H22" i="87"/>
  <c r="G22" i="87"/>
  <c r="F22" i="87"/>
  <c r="E22" i="87"/>
  <c r="D22" i="87"/>
  <c r="B22" i="87"/>
  <c r="Q21" i="87"/>
  <c r="B21" i="87"/>
  <c r="O20" i="87"/>
  <c r="N20" i="87"/>
  <c r="M20" i="87"/>
  <c r="L20" i="87"/>
  <c r="K20" i="87"/>
  <c r="J20" i="87"/>
  <c r="I20" i="87"/>
  <c r="H20" i="87"/>
  <c r="G20" i="87"/>
  <c r="F20" i="87"/>
  <c r="E20" i="87"/>
  <c r="E17" i="87" s="1"/>
  <c r="D20" i="87"/>
  <c r="Q20" i="87" s="1"/>
  <c r="B20" i="87"/>
  <c r="Q19" i="87"/>
  <c r="B19" i="87"/>
  <c r="O18" i="87"/>
  <c r="N18" i="87"/>
  <c r="M18" i="87"/>
  <c r="L18" i="87"/>
  <c r="K18" i="87"/>
  <c r="J18" i="87"/>
  <c r="I18" i="87"/>
  <c r="I17" i="87" s="1"/>
  <c r="H18" i="87"/>
  <c r="G18" i="87"/>
  <c r="F18" i="87"/>
  <c r="E18" i="87"/>
  <c r="D18" i="87"/>
  <c r="B18" i="87"/>
  <c r="O17" i="87"/>
  <c r="N17" i="87"/>
  <c r="L17" i="87"/>
  <c r="K17" i="87"/>
  <c r="J17" i="87"/>
  <c r="H17" i="87"/>
  <c r="G17" i="87"/>
  <c r="F17" i="87"/>
  <c r="D17" i="87"/>
  <c r="L15" i="87"/>
  <c r="M14" i="87"/>
  <c r="E14" i="87"/>
  <c r="E29" i="87" s="1"/>
  <c r="Q12" i="87"/>
  <c r="O12" i="87"/>
  <c r="N12" i="87"/>
  <c r="M12" i="87"/>
  <c r="L12" i="87"/>
  <c r="L14" i="87" s="1"/>
  <c r="L29" i="87" s="1"/>
  <c r="K12" i="87"/>
  <c r="J12" i="87"/>
  <c r="I12" i="87"/>
  <c r="H12" i="87"/>
  <c r="G12" i="87"/>
  <c r="F12" i="87"/>
  <c r="F14" i="87" s="1"/>
  <c r="E12" i="87"/>
  <c r="D12" i="87"/>
  <c r="Q10" i="87"/>
  <c r="Q14" i="87" s="1"/>
  <c r="O10" i="87"/>
  <c r="O14" i="87" s="1"/>
  <c r="N10" i="87"/>
  <c r="N14" i="87" s="1"/>
  <c r="M10" i="87"/>
  <c r="L10" i="87"/>
  <c r="K10" i="87"/>
  <c r="K14" i="87" s="1"/>
  <c r="J10" i="87"/>
  <c r="J14" i="87" s="1"/>
  <c r="I10" i="87"/>
  <c r="I14" i="87" s="1"/>
  <c r="H10" i="87"/>
  <c r="H14" i="87" s="1"/>
  <c r="G10" i="87"/>
  <c r="G14" i="87" s="1"/>
  <c r="G15" i="87" s="1"/>
  <c r="F10" i="87"/>
  <c r="E10" i="87"/>
  <c r="D10" i="87"/>
  <c r="D14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55" i="86"/>
  <c r="M50" i="86"/>
  <c r="L50" i="86"/>
  <c r="K50" i="86"/>
  <c r="J50" i="86"/>
  <c r="Q50" i="86" s="1"/>
  <c r="I50" i="86"/>
  <c r="H50" i="86"/>
  <c r="G50" i="86"/>
  <c r="F50" i="86"/>
  <c r="E50" i="86"/>
  <c r="D50" i="86"/>
  <c r="Q48" i="86"/>
  <c r="B48" i="86"/>
  <c r="O47" i="86"/>
  <c r="N47" i="86"/>
  <c r="M47" i="86"/>
  <c r="L47" i="86"/>
  <c r="K47" i="86"/>
  <c r="J47" i="86"/>
  <c r="I47" i="86"/>
  <c r="H47" i="86"/>
  <c r="G47" i="86"/>
  <c r="F47" i="86"/>
  <c r="E47" i="86"/>
  <c r="D47" i="86"/>
  <c r="Q47" i="86" s="1"/>
  <c r="B47" i="86"/>
  <c r="Q46" i="86"/>
  <c r="B46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B45" i="86"/>
  <c r="Q44" i="86"/>
  <c r="B44" i="86"/>
  <c r="O43" i="86"/>
  <c r="N43" i="86"/>
  <c r="M43" i="86"/>
  <c r="L43" i="86"/>
  <c r="K43" i="86"/>
  <c r="J43" i="86"/>
  <c r="I43" i="86"/>
  <c r="H43" i="86"/>
  <c r="G43" i="86"/>
  <c r="F43" i="86"/>
  <c r="E43" i="86"/>
  <c r="D43" i="86"/>
  <c r="Q43" i="86" s="1"/>
  <c r="B43" i="86"/>
  <c r="Q42" i="86"/>
  <c r="B42" i="86"/>
  <c r="Q41" i="86"/>
  <c r="B41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B40" i="86"/>
  <c r="Q39" i="86"/>
  <c r="B39" i="86"/>
  <c r="O38" i="86"/>
  <c r="N38" i="86"/>
  <c r="M38" i="86"/>
  <c r="L38" i="86"/>
  <c r="K38" i="86"/>
  <c r="J38" i="86"/>
  <c r="I38" i="86"/>
  <c r="H38" i="86"/>
  <c r="G38" i="86"/>
  <c r="G17" i="86" s="1"/>
  <c r="F38" i="86"/>
  <c r="E38" i="86"/>
  <c r="D38" i="86"/>
  <c r="Q38" i="86" s="1"/>
  <c r="B38" i="86"/>
  <c r="Q37" i="86"/>
  <c r="B37" i="86"/>
  <c r="Q36" i="86"/>
  <c r="B36" i="86"/>
  <c r="Q35" i="86"/>
  <c r="B35" i="86"/>
  <c r="Q34" i="86"/>
  <c r="B34" i="86"/>
  <c r="Q33" i="86"/>
  <c r="B33" i="86"/>
  <c r="Q32" i="86"/>
  <c r="B32" i="86"/>
  <c r="Q31" i="86"/>
  <c r="B31" i="86"/>
  <c r="Q30" i="86"/>
  <c r="B30" i="86"/>
  <c r="Q29" i="86"/>
  <c r="B29" i="86"/>
  <c r="Q28" i="86"/>
  <c r="B28" i="86"/>
  <c r="O27" i="86"/>
  <c r="N27" i="86"/>
  <c r="M27" i="86"/>
  <c r="L27" i="86"/>
  <c r="K27" i="86"/>
  <c r="J27" i="86"/>
  <c r="I27" i="86"/>
  <c r="I17" i="86" s="1"/>
  <c r="H27" i="86"/>
  <c r="G27" i="86"/>
  <c r="F27" i="86"/>
  <c r="E27" i="86"/>
  <c r="E17" i="86" s="1"/>
  <c r="D27" i="86"/>
  <c r="B27" i="86"/>
  <c r="Q26" i="86"/>
  <c r="B26" i="86"/>
  <c r="Q25" i="86"/>
  <c r="B25" i="86"/>
  <c r="Q24" i="86"/>
  <c r="B24" i="86"/>
  <c r="Q23" i="86"/>
  <c r="B23" i="86"/>
  <c r="Q22" i="86"/>
  <c r="B22" i="86"/>
  <c r="Q21" i="86"/>
  <c r="B21" i="86"/>
  <c r="Q20" i="86"/>
  <c r="B20" i="86"/>
  <c r="Q19" i="86"/>
  <c r="B19" i="86"/>
  <c r="O18" i="86"/>
  <c r="N18" i="86"/>
  <c r="M18" i="86"/>
  <c r="L18" i="86"/>
  <c r="K18" i="86"/>
  <c r="K17" i="86" s="1"/>
  <c r="J18" i="86"/>
  <c r="I18" i="86"/>
  <c r="H18" i="86"/>
  <c r="G18" i="86"/>
  <c r="F18" i="86"/>
  <c r="E18" i="86"/>
  <c r="D18" i="86"/>
  <c r="Q18" i="86" s="1"/>
  <c r="B18" i="86"/>
  <c r="N17" i="86"/>
  <c r="M17" i="86"/>
  <c r="L17" i="86"/>
  <c r="J17" i="86"/>
  <c r="H17" i="86"/>
  <c r="F17" i="86"/>
  <c r="D17" i="86"/>
  <c r="O14" i="86"/>
  <c r="G14" i="86"/>
  <c r="Q12" i="86"/>
  <c r="O12" i="86"/>
  <c r="N12" i="86"/>
  <c r="M12" i="86"/>
  <c r="L12" i="86"/>
  <c r="K12" i="86"/>
  <c r="J12" i="86"/>
  <c r="J14" i="86" s="1"/>
  <c r="I12" i="86"/>
  <c r="H12" i="86"/>
  <c r="G12" i="86"/>
  <c r="F12" i="86"/>
  <c r="F14" i="86" s="1"/>
  <c r="E12" i="86"/>
  <c r="D12" i="86"/>
  <c r="Q10" i="86"/>
  <c r="O10" i="86"/>
  <c r="N10" i="86"/>
  <c r="N14" i="86" s="1"/>
  <c r="N52" i="86" s="1"/>
  <c r="M10" i="86"/>
  <c r="M14" i="86" s="1"/>
  <c r="L10" i="86"/>
  <c r="L14" i="86" s="1"/>
  <c r="K10" i="86"/>
  <c r="K14" i="86" s="1"/>
  <c r="J10" i="86"/>
  <c r="I10" i="86"/>
  <c r="I14" i="86" s="1"/>
  <c r="H10" i="86"/>
  <c r="H14" i="86" s="1"/>
  <c r="G10" i="86"/>
  <c r="F10" i="86"/>
  <c r="E10" i="86"/>
  <c r="E14" i="86" s="1"/>
  <c r="D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J32" i="85"/>
  <c r="Q30" i="85"/>
  <c r="M25" i="85"/>
  <c r="L25" i="85"/>
  <c r="K25" i="85"/>
  <c r="J25" i="85"/>
  <c r="I25" i="85"/>
  <c r="H25" i="85"/>
  <c r="G25" i="85"/>
  <c r="F25" i="85"/>
  <c r="E25" i="85"/>
  <c r="D25" i="85"/>
  <c r="Q25" i="85" s="1"/>
  <c r="Q23" i="85"/>
  <c r="B23" i="85"/>
  <c r="O22" i="85"/>
  <c r="O19" i="85" s="1"/>
  <c r="N22" i="85"/>
  <c r="M22" i="85"/>
  <c r="L22" i="85"/>
  <c r="K22" i="85"/>
  <c r="J22" i="85"/>
  <c r="I22" i="85"/>
  <c r="H22" i="85"/>
  <c r="G22" i="85"/>
  <c r="F22" i="85"/>
  <c r="E22" i="85"/>
  <c r="D22" i="85"/>
  <c r="B22" i="85"/>
  <c r="Q21" i="85"/>
  <c r="B21" i="85"/>
  <c r="O20" i="85"/>
  <c r="N20" i="85"/>
  <c r="M20" i="85"/>
  <c r="L20" i="85"/>
  <c r="K20" i="85"/>
  <c r="K19" i="85" s="1"/>
  <c r="J20" i="85"/>
  <c r="I20" i="85"/>
  <c r="H20" i="85"/>
  <c r="G20" i="85"/>
  <c r="G19" i="85" s="1"/>
  <c r="F20" i="85"/>
  <c r="E20" i="85"/>
  <c r="D20" i="85"/>
  <c r="Q20" i="85" s="1"/>
  <c r="B20" i="85"/>
  <c r="N19" i="85"/>
  <c r="M19" i="85"/>
  <c r="L19" i="85"/>
  <c r="J19" i="85"/>
  <c r="I19" i="85"/>
  <c r="H19" i="85"/>
  <c r="F19" i="85"/>
  <c r="E19" i="85"/>
  <c r="D19" i="85"/>
  <c r="O16" i="85"/>
  <c r="O17" i="85" s="1"/>
  <c r="Q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M12" i="85"/>
  <c r="L12" i="85"/>
  <c r="K12" i="85"/>
  <c r="Q12" i="85" s="1"/>
  <c r="J12" i="85"/>
  <c r="I12" i="85"/>
  <c r="H12" i="85"/>
  <c r="G12" i="85"/>
  <c r="F12" i="85"/>
  <c r="E12" i="85"/>
  <c r="D12" i="85"/>
  <c r="B12" i="85"/>
  <c r="M11" i="85"/>
  <c r="L11" i="85"/>
  <c r="K11" i="85"/>
  <c r="J11" i="85"/>
  <c r="I11" i="85"/>
  <c r="I10" i="85" s="1"/>
  <c r="I16" i="85" s="1"/>
  <c r="H11" i="85"/>
  <c r="G11" i="85"/>
  <c r="F11" i="85"/>
  <c r="F10" i="85" s="1"/>
  <c r="F16" i="85" s="1"/>
  <c r="E11" i="85"/>
  <c r="D11" i="85"/>
  <c r="B11" i="85"/>
  <c r="O10" i="85"/>
  <c r="N10" i="85"/>
  <c r="N16" i="85" s="1"/>
  <c r="M10" i="85"/>
  <c r="M16" i="85" s="1"/>
  <c r="M17" i="85" s="1"/>
  <c r="L10" i="85"/>
  <c r="J10" i="85"/>
  <c r="J16" i="85" s="1"/>
  <c r="J27" i="85" s="1"/>
  <c r="J28" i="85" s="1"/>
  <c r="H10" i="85"/>
  <c r="H16" i="85" s="1"/>
  <c r="G10" i="85"/>
  <c r="G16" i="85" s="1"/>
  <c r="E10" i="85"/>
  <c r="E16" i="85" s="1"/>
  <c r="D10" i="85"/>
  <c r="D16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81" i="84"/>
  <c r="M76" i="84"/>
  <c r="L76" i="84"/>
  <c r="K76" i="84"/>
  <c r="J76" i="84"/>
  <c r="I76" i="84"/>
  <c r="H76" i="84"/>
  <c r="G76" i="84"/>
  <c r="F76" i="84"/>
  <c r="E76" i="84"/>
  <c r="D76" i="84"/>
  <c r="Q74" i="84"/>
  <c r="B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Q73" i="84" s="1"/>
  <c r="B73" i="84"/>
  <c r="Q72" i="84"/>
  <c r="B72" i="84"/>
  <c r="Q71" i="84"/>
  <c r="B71" i="84"/>
  <c r="O70" i="84"/>
  <c r="N70" i="84"/>
  <c r="M70" i="84"/>
  <c r="L70" i="84"/>
  <c r="K70" i="84"/>
  <c r="J70" i="84"/>
  <c r="I70" i="84"/>
  <c r="H70" i="84"/>
  <c r="G70" i="84"/>
  <c r="F70" i="84"/>
  <c r="E70" i="84"/>
  <c r="D70" i="84"/>
  <c r="B70" i="84"/>
  <c r="Q69" i="84"/>
  <c r="B69" i="84"/>
  <c r="Q68" i="84"/>
  <c r="B68" i="84"/>
  <c r="Q67" i="84"/>
  <c r="B67" i="84"/>
  <c r="Q66" i="84"/>
  <c r="B66" i="84"/>
  <c r="Q65" i="84"/>
  <c r="B65" i="84"/>
  <c r="Q64" i="84"/>
  <c r="B64" i="84"/>
  <c r="O63" i="84"/>
  <c r="N63" i="84"/>
  <c r="M63" i="84"/>
  <c r="L63" i="84"/>
  <c r="K63" i="84"/>
  <c r="J63" i="84"/>
  <c r="I63" i="84"/>
  <c r="H63" i="84"/>
  <c r="G63" i="84"/>
  <c r="F63" i="84"/>
  <c r="E63" i="84"/>
  <c r="D63" i="84"/>
  <c r="Q63" i="84" s="1"/>
  <c r="B63" i="84"/>
  <c r="Q62" i="84"/>
  <c r="B62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B61" i="84"/>
  <c r="Q60" i="84"/>
  <c r="B60" i="84"/>
  <c r="Q59" i="84"/>
  <c r="B59" i="84"/>
  <c r="O58" i="84"/>
  <c r="N58" i="84"/>
  <c r="M58" i="84"/>
  <c r="L58" i="84"/>
  <c r="K58" i="84"/>
  <c r="J58" i="84"/>
  <c r="I58" i="84"/>
  <c r="H58" i="84"/>
  <c r="G58" i="84"/>
  <c r="F58" i="84"/>
  <c r="E58" i="84"/>
  <c r="D58" i="84"/>
  <c r="Q58" i="84" s="1"/>
  <c r="B58" i="84"/>
  <c r="Q57" i="84"/>
  <c r="B57" i="84"/>
  <c r="Q56" i="84"/>
  <c r="B56" i="84"/>
  <c r="O55" i="84"/>
  <c r="N55" i="84"/>
  <c r="M55" i="84"/>
  <c r="L55" i="84"/>
  <c r="K55" i="84"/>
  <c r="J55" i="84"/>
  <c r="I55" i="84"/>
  <c r="H55" i="84"/>
  <c r="G55" i="84"/>
  <c r="F55" i="84"/>
  <c r="E55" i="84"/>
  <c r="D55" i="84"/>
  <c r="B55" i="84"/>
  <c r="Q54" i="84"/>
  <c r="B54" i="84"/>
  <c r="O53" i="84"/>
  <c r="N53" i="84"/>
  <c r="M53" i="84"/>
  <c r="L53" i="84"/>
  <c r="K53" i="84"/>
  <c r="J53" i="84"/>
  <c r="I53" i="84"/>
  <c r="H53" i="84"/>
  <c r="G53" i="84"/>
  <c r="F53" i="84"/>
  <c r="E53" i="84"/>
  <c r="D53" i="84"/>
  <c r="Q53" i="84" s="1"/>
  <c r="B53" i="84"/>
  <c r="Q52" i="84"/>
  <c r="B52" i="84"/>
  <c r="O51" i="84"/>
  <c r="N51" i="84"/>
  <c r="M51" i="84"/>
  <c r="L51" i="84"/>
  <c r="K51" i="84"/>
  <c r="J51" i="84"/>
  <c r="I51" i="84"/>
  <c r="H51" i="84"/>
  <c r="G51" i="84"/>
  <c r="F51" i="84"/>
  <c r="E51" i="84"/>
  <c r="D51" i="84"/>
  <c r="B51" i="84"/>
  <c r="Q50" i="84"/>
  <c r="B50" i="84"/>
  <c r="O49" i="84"/>
  <c r="N49" i="84"/>
  <c r="M49" i="84"/>
  <c r="L49" i="84"/>
  <c r="K49" i="84"/>
  <c r="J49" i="84"/>
  <c r="I49" i="84"/>
  <c r="H49" i="84"/>
  <c r="G49" i="84"/>
  <c r="F49" i="84"/>
  <c r="E49" i="84"/>
  <c r="D49" i="84"/>
  <c r="B49" i="84"/>
  <c r="Q48" i="84"/>
  <c r="B48" i="84"/>
  <c r="Q47" i="84"/>
  <c r="B47" i="84"/>
  <c r="O46" i="84"/>
  <c r="N46" i="84"/>
  <c r="M46" i="84"/>
  <c r="L46" i="84"/>
  <c r="K46" i="84"/>
  <c r="J46" i="84"/>
  <c r="I46" i="84"/>
  <c r="H46" i="84"/>
  <c r="G46" i="84"/>
  <c r="F46" i="84"/>
  <c r="E46" i="84"/>
  <c r="D46" i="84"/>
  <c r="B46" i="84"/>
  <c r="Q45" i="84"/>
  <c r="B45" i="84"/>
  <c r="O44" i="84"/>
  <c r="N44" i="84"/>
  <c r="M44" i="84"/>
  <c r="L44" i="84"/>
  <c r="K44" i="84"/>
  <c r="J44" i="84"/>
  <c r="I44" i="84"/>
  <c r="H44" i="84"/>
  <c r="G44" i="84"/>
  <c r="F44" i="84"/>
  <c r="E44" i="84"/>
  <c r="D44" i="84"/>
  <c r="Q44" i="84" s="1"/>
  <c r="B44" i="84"/>
  <c r="Q43" i="84"/>
  <c r="B43" i="84"/>
  <c r="O42" i="84"/>
  <c r="N42" i="84"/>
  <c r="M42" i="84"/>
  <c r="M21" i="84" s="1"/>
  <c r="L42" i="84"/>
  <c r="K42" i="84"/>
  <c r="J42" i="84"/>
  <c r="I42" i="84"/>
  <c r="H42" i="84"/>
  <c r="G42" i="84"/>
  <c r="F42" i="84"/>
  <c r="E42" i="84"/>
  <c r="D42" i="84"/>
  <c r="B42" i="84"/>
  <c r="Q41" i="84"/>
  <c r="B41" i="84"/>
  <c r="Q40" i="84"/>
  <c r="B40" i="84"/>
  <c r="Q39" i="84"/>
  <c r="B39" i="84"/>
  <c r="Q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O31" i="84"/>
  <c r="N31" i="84"/>
  <c r="M31" i="84"/>
  <c r="L31" i="84"/>
  <c r="K31" i="84"/>
  <c r="K21" i="84" s="1"/>
  <c r="J31" i="84"/>
  <c r="I31" i="84"/>
  <c r="H31" i="84"/>
  <c r="G31" i="84"/>
  <c r="F31" i="84"/>
  <c r="E31" i="84"/>
  <c r="D31" i="84"/>
  <c r="Q31" i="84" s="1"/>
  <c r="B31" i="84"/>
  <c r="Q30" i="84"/>
  <c r="B30" i="84"/>
  <c r="Q29" i="84"/>
  <c r="B29" i="84"/>
  <c r="Q28" i="84"/>
  <c r="B28" i="84"/>
  <c r="Q27" i="84"/>
  <c r="B27" i="84"/>
  <c r="Q26" i="84"/>
  <c r="B26" i="84"/>
  <c r="Q25" i="84"/>
  <c r="B25" i="84"/>
  <c r="Q24" i="84"/>
  <c r="B24" i="84"/>
  <c r="Q23" i="84"/>
  <c r="B23" i="84"/>
  <c r="O22" i="84"/>
  <c r="N22" i="84"/>
  <c r="M22" i="84"/>
  <c r="L22" i="84"/>
  <c r="K22" i="84"/>
  <c r="J22" i="84"/>
  <c r="I22" i="84"/>
  <c r="I21" i="84" s="1"/>
  <c r="H22" i="84"/>
  <c r="G22" i="84"/>
  <c r="F22" i="84"/>
  <c r="E22" i="84"/>
  <c r="D22" i="84"/>
  <c r="B22" i="84"/>
  <c r="N21" i="84"/>
  <c r="L21" i="84"/>
  <c r="J21" i="84"/>
  <c r="H21" i="84"/>
  <c r="G21" i="84"/>
  <c r="F21" i="84"/>
  <c r="D21" i="84"/>
  <c r="L19" i="84"/>
  <c r="I18" i="84"/>
  <c r="Q16" i="84"/>
  <c r="B16" i="84"/>
  <c r="Q15" i="84"/>
  <c r="Q14" i="84" s="1"/>
  <c r="B15" i="84"/>
  <c r="O14" i="84"/>
  <c r="N14" i="84"/>
  <c r="M14" i="84"/>
  <c r="L14" i="84"/>
  <c r="K14" i="84"/>
  <c r="J14" i="84"/>
  <c r="I14" i="84"/>
  <c r="H14" i="84"/>
  <c r="G14" i="84"/>
  <c r="F14" i="84"/>
  <c r="E14" i="84"/>
  <c r="D14" i="84"/>
  <c r="M12" i="84"/>
  <c r="L12" i="84"/>
  <c r="K12" i="84"/>
  <c r="J12" i="84"/>
  <c r="I12" i="84"/>
  <c r="H12" i="84"/>
  <c r="G12" i="84"/>
  <c r="F12" i="84"/>
  <c r="E12" i="84"/>
  <c r="D12" i="84"/>
  <c r="Q12" i="84" s="1"/>
  <c r="B12" i="84"/>
  <c r="M11" i="84"/>
  <c r="M10" i="84" s="1"/>
  <c r="M18" i="84" s="1"/>
  <c r="L11" i="84"/>
  <c r="K11" i="84"/>
  <c r="J11" i="84"/>
  <c r="J10" i="84" s="1"/>
  <c r="J18" i="84" s="1"/>
  <c r="I11" i="84"/>
  <c r="H11" i="84"/>
  <c r="G11" i="84"/>
  <c r="F11" i="84"/>
  <c r="E11" i="84"/>
  <c r="E10" i="84" s="1"/>
  <c r="E18" i="84" s="1"/>
  <c r="D11" i="84"/>
  <c r="B11" i="84"/>
  <c r="O10" i="84"/>
  <c r="O18" i="84" s="1"/>
  <c r="N10" i="84"/>
  <c r="L10" i="84"/>
  <c r="L18" i="84" s="1"/>
  <c r="K10" i="84"/>
  <c r="K18" i="84" s="1"/>
  <c r="I10" i="84"/>
  <c r="H10" i="84"/>
  <c r="H18" i="84" s="1"/>
  <c r="H19" i="84" s="1"/>
  <c r="G10" i="84"/>
  <c r="G18" i="84" s="1"/>
  <c r="F10" i="84"/>
  <c r="D10" i="84"/>
  <c r="D18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5" i="83"/>
  <c r="M90" i="83"/>
  <c r="L90" i="83"/>
  <c r="K90" i="83"/>
  <c r="J90" i="83"/>
  <c r="I90" i="83"/>
  <c r="H90" i="83"/>
  <c r="G90" i="83"/>
  <c r="F90" i="83"/>
  <c r="E90" i="83"/>
  <c r="D90" i="83"/>
  <c r="Q88" i="83"/>
  <c r="B88" i="83"/>
  <c r="O87" i="83"/>
  <c r="N87" i="83"/>
  <c r="M87" i="83"/>
  <c r="L87" i="83"/>
  <c r="K87" i="83"/>
  <c r="J87" i="83"/>
  <c r="I87" i="83"/>
  <c r="H87" i="83"/>
  <c r="G87" i="83"/>
  <c r="F87" i="83"/>
  <c r="E87" i="83"/>
  <c r="D87" i="83"/>
  <c r="Q87" i="83" s="1"/>
  <c r="B87" i="83"/>
  <c r="Q86" i="83"/>
  <c r="B86" i="83"/>
  <c r="O85" i="83"/>
  <c r="N85" i="83"/>
  <c r="M85" i="83"/>
  <c r="L85" i="83"/>
  <c r="K85" i="83"/>
  <c r="J85" i="83"/>
  <c r="I85" i="83"/>
  <c r="H85" i="83"/>
  <c r="G85" i="83"/>
  <c r="F85" i="83"/>
  <c r="E85" i="83"/>
  <c r="D85" i="83"/>
  <c r="Q85" i="83" s="1"/>
  <c r="B85" i="83"/>
  <c r="Q84" i="83"/>
  <c r="B84" i="83"/>
  <c r="Q83" i="83"/>
  <c r="B83" i="83"/>
  <c r="O82" i="83"/>
  <c r="N82" i="83"/>
  <c r="M82" i="83"/>
  <c r="L82" i="83"/>
  <c r="K82" i="83"/>
  <c r="J82" i="83"/>
  <c r="I82" i="83"/>
  <c r="H82" i="83"/>
  <c r="G82" i="83"/>
  <c r="F82" i="83"/>
  <c r="E82" i="83"/>
  <c r="D82" i="83"/>
  <c r="B82" i="83"/>
  <c r="Q81" i="83"/>
  <c r="B81" i="83"/>
  <c r="Q80" i="83"/>
  <c r="B80" i="83"/>
  <c r="Q79" i="83"/>
  <c r="B79" i="83"/>
  <c r="Q78" i="83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B75" i="83"/>
  <c r="Q74" i="83"/>
  <c r="B74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Q73" i="83" s="1"/>
  <c r="B73" i="83"/>
  <c r="Q72" i="83"/>
  <c r="B72" i="83"/>
  <c r="Q71" i="83"/>
  <c r="B71" i="83"/>
  <c r="Q70" i="83"/>
  <c r="B70" i="83"/>
  <c r="Q69" i="83"/>
  <c r="B69" i="83"/>
  <c r="O68" i="83"/>
  <c r="N68" i="83"/>
  <c r="M68" i="83"/>
  <c r="L68" i="83"/>
  <c r="K68" i="83"/>
  <c r="J68" i="83"/>
  <c r="I68" i="83"/>
  <c r="H68" i="83"/>
  <c r="G68" i="83"/>
  <c r="F68" i="83"/>
  <c r="E68" i="83"/>
  <c r="D68" i="83"/>
  <c r="Q68" i="83" s="1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B65" i="83"/>
  <c r="Q64" i="83"/>
  <c r="B64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B63" i="83"/>
  <c r="Q62" i="83"/>
  <c r="B62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Q59" i="83" s="1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Q57" i="83" s="1"/>
  <c r="B57" i="83"/>
  <c r="Q56" i="83"/>
  <c r="B56" i="83"/>
  <c r="O55" i="83"/>
  <c r="N55" i="83"/>
  <c r="M55" i="83"/>
  <c r="L55" i="83"/>
  <c r="K55" i="83"/>
  <c r="J55" i="83"/>
  <c r="I55" i="83"/>
  <c r="H55" i="83"/>
  <c r="G55" i="83"/>
  <c r="F55" i="83"/>
  <c r="E55" i="83"/>
  <c r="D55" i="83"/>
  <c r="B55" i="83"/>
  <c r="Q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O48" i="83"/>
  <c r="N48" i="83"/>
  <c r="M48" i="83"/>
  <c r="L48" i="83"/>
  <c r="K48" i="83"/>
  <c r="J48" i="83"/>
  <c r="I48" i="83"/>
  <c r="H48" i="83"/>
  <c r="G48" i="83"/>
  <c r="F48" i="83"/>
  <c r="E48" i="83"/>
  <c r="D48" i="83"/>
  <c r="Q48" i="83" s="1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Q46" i="83" s="1"/>
  <c r="B46" i="83"/>
  <c r="Q45" i="83"/>
  <c r="B45" i="83"/>
  <c r="Q44" i="83"/>
  <c r="B44" i="83"/>
  <c r="Q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O35" i="83"/>
  <c r="N35" i="83"/>
  <c r="M35" i="83"/>
  <c r="L35" i="83"/>
  <c r="K35" i="83"/>
  <c r="J35" i="83"/>
  <c r="I35" i="83"/>
  <c r="H35" i="83"/>
  <c r="G35" i="83"/>
  <c r="F35" i="83"/>
  <c r="E35" i="83"/>
  <c r="D35" i="83"/>
  <c r="B35" i="83"/>
  <c r="Q34" i="83"/>
  <c r="B34" i="83"/>
  <c r="Q33" i="83"/>
  <c r="B33" i="83"/>
  <c r="Q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O25" i="83"/>
  <c r="N25" i="83"/>
  <c r="N24" i="83" s="1"/>
  <c r="M25" i="83"/>
  <c r="L25" i="83"/>
  <c r="L24" i="83" s="1"/>
  <c r="K25" i="83"/>
  <c r="K24" i="83" s="1"/>
  <c r="J25" i="83"/>
  <c r="I25" i="83"/>
  <c r="H25" i="83"/>
  <c r="G25" i="83"/>
  <c r="G24" i="83" s="1"/>
  <c r="F25" i="83"/>
  <c r="E25" i="83"/>
  <c r="D25" i="83"/>
  <c r="Q25" i="83" s="1"/>
  <c r="B25" i="83"/>
  <c r="O24" i="83"/>
  <c r="M24" i="83"/>
  <c r="I24" i="83"/>
  <c r="E24" i="83"/>
  <c r="D24" i="83"/>
  <c r="F21" i="83"/>
  <c r="Q19" i="83"/>
  <c r="B19" i="83"/>
  <c r="Q18" i="83"/>
  <c r="B18" i="83"/>
  <c r="Q17" i="83"/>
  <c r="Q16" i="83" s="1"/>
  <c r="B17" i="83"/>
  <c r="O16" i="83"/>
  <c r="N16" i="83"/>
  <c r="M16" i="83"/>
  <c r="L16" i="83"/>
  <c r="K16" i="83"/>
  <c r="J16" i="83"/>
  <c r="I16" i="83"/>
  <c r="H16" i="83"/>
  <c r="G16" i="83"/>
  <c r="G21" i="83" s="1"/>
  <c r="F16" i="83"/>
  <c r="E16" i="83"/>
  <c r="D16" i="83"/>
  <c r="M14" i="83"/>
  <c r="L14" i="83"/>
  <c r="K14" i="83"/>
  <c r="J14" i="83"/>
  <c r="I14" i="83"/>
  <c r="H14" i="83"/>
  <c r="G14" i="83"/>
  <c r="F14" i="83"/>
  <c r="E14" i="83"/>
  <c r="D14" i="83"/>
  <c r="B14" i="83"/>
  <c r="M13" i="83"/>
  <c r="L13" i="83"/>
  <c r="K13" i="83"/>
  <c r="J13" i="83"/>
  <c r="I13" i="83"/>
  <c r="H13" i="83"/>
  <c r="G13" i="83"/>
  <c r="F13" i="83"/>
  <c r="E13" i="83"/>
  <c r="D13" i="83"/>
  <c r="Q13" i="83" s="1"/>
  <c r="B13" i="83"/>
  <c r="M12" i="83"/>
  <c r="L12" i="83"/>
  <c r="K12" i="83"/>
  <c r="J12" i="83"/>
  <c r="I12" i="83"/>
  <c r="H12" i="83"/>
  <c r="G12" i="83"/>
  <c r="F12" i="83"/>
  <c r="E12" i="83"/>
  <c r="D12" i="83"/>
  <c r="Q12" i="83" s="1"/>
  <c r="B12" i="83"/>
  <c r="M11" i="83"/>
  <c r="M10" i="83" s="1"/>
  <c r="L11" i="83"/>
  <c r="K11" i="83"/>
  <c r="J11" i="83"/>
  <c r="J10" i="83" s="1"/>
  <c r="J21" i="83" s="1"/>
  <c r="I11" i="83"/>
  <c r="I10" i="83" s="1"/>
  <c r="I21" i="83" s="1"/>
  <c r="H11" i="83"/>
  <c r="G11" i="83"/>
  <c r="F11" i="83"/>
  <c r="E11" i="83"/>
  <c r="E10" i="83" s="1"/>
  <c r="E21" i="83" s="1"/>
  <c r="E92" i="83" s="1"/>
  <c r="D11" i="83"/>
  <c r="B11" i="83"/>
  <c r="O10" i="83"/>
  <c r="O21" i="83" s="1"/>
  <c r="N10" i="83"/>
  <c r="N21" i="83" s="1"/>
  <c r="K10" i="83"/>
  <c r="K21" i="83" s="1"/>
  <c r="H10" i="83"/>
  <c r="H21" i="83" s="1"/>
  <c r="H22" i="83" s="1"/>
  <c r="G10" i="83"/>
  <c r="F10" i="83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77" i="82"/>
  <c r="M72" i="82"/>
  <c r="L72" i="82"/>
  <c r="K72" i="82"/>
  <c r="J72" i="82"/>
  <c r="I72" i="82"/>
  <c r="H72" i="82"/>
  <c r="G72" i="82"/>
  <c r="F72" i="82"/>
  <c r="E72" i="82"/>
  <c r="Q72" i="82" s="1"/>
  <c r="D72" i="82"/>
  <c r="Q70" i="82"/>
  <c r="B70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B69" i="82"/>
  <c r="Q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Q63" i="82" s="1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Q61" i="82" s="1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Q59" i="82" s="1"/>
  <c r="B59" i="82"/>
  <c r="Q58" i="82"/>
  <c r="B58" i="82"/>
  <c r="Q57" i="82"/>
  <c r="B57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Q56" i="82" s="1"/>
  <c r="B56" i="82"/>
  <c r="Q55" i="82"/>
  <c r="B55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Q54" i="82" s="1"/>
  <c r="B54" i="82"/>
  <c r="Q53" i="82"/>
  <c r="B53" i="82"/>
  <c r="O52" i="82"/>
  <c r="N52" i="82"/>
  <c r="M52" i="82"/>
  <c r="L52" i="82"/>
  <c r="K52" i="82"/>
  <c r="J52" i="82"/>
  <c r="J22" i="82" s="1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Q48" i="82" s="1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Q46" i="82" s="1"/>
  <c r="B46" i="82"/>
  <c r="Q45" i="82"/>
  <c r="B45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Q44" i="82" s="1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Q34" i="82"/>
  <c r="B34" i="82"/>
  <c r="O33" i="82"/>
  <c r="N33" i="82"/>
  <c r="M33" i="82"/>
  <c r="M22" i="82" s="1"/>
  <c r="L33" i="82"/>
  <c r="K33" i="82"/>
  <c r="J33" i="82"/>
  <c r="I33" i="82"/>
  <c r="H33" i="82"/>
  <c r="G33" i="82"/>
  <c r="F33" i="82"/>
  <c r="E33" i="82"/>
  <c r="D33" i="82"/>
  <c r="D22" i="82" s="1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Q25" i="82"/>
  <c r="B25" i="82"/>
  <c r="Q24" i="82"/>
  <c r="B24" i="82"/>
  <c r="O23" i="82"/>
  <c r="N23" i="82"/>
  <c r="M23" i="82"/>
  <c r="L23" i="82"/>
  <c r="K23" i="82"/>
  <c r="J23" i="82"/>
  <c r="I23" i="82"/>
  <c r="I22" i="82" s="1"/>
  <c r="H23" i="82"/>
  <c r="H22" i="82" s="1"/>
  <c r="G23" i="82"/>
  <c r="F23" i="82"/>
  <c r="F22" i="82" s="1"/>
  <c r="E23" i="82"/>
  <c r="E22" i="82" s="1"/>
  <c r="D23" i="82"/>
  <c r="B23" i="82"/>
  <c r="O22" i="82"/>
  <c r="K22" i="82"/>
  <c r="G22" i="82"/>
  <c r="N19" i="82"/>
  <c r="L19" i="82"/>
  <c r="Q17" i="82"/>
  <c r="B17" i="82"/>
  <c r="Q16" i="82"/>
  <c r="Q15" i="82" s="1"/>
  <c r="B16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M13" i="82"/>
  <c r="L13" i="82"/>
  <c r="K13" i="82"/>
  <c r="J13" i="82"/>
  <c r="I13" i="82"/>
  <c r="H13" i="82"/>
  <c r="G13" i="82"/>
  <c r="F13" i="82"/>
  <c r="E13" i="82"/>
  <c r="D13" i="82"/>
  <c r="Q13" i="82" s="1"/>
  <c r="B13" i="82"/>
  <c r="M12" i="82"/>
  <c r="L12" i="82"/>
  <c r="K12" i="82"/>
  <c r="J12" i="82"/>
  <c r="I12" i="82"/>
  <c r="H12" i="82"/>
  <c r="G12" i="82"/>
  <c r="F12" i="82"/>
  <c r="E12" i="82"/>
  <c r="D12" i="82"/>
  <c r="Q12" i="82" s="1"/>
  <c r="B12" i="82"/>
  <c r="M11" i="82"/>
  <c r="M10" i="82" s="1"/>
  <c r="M19" i="82" s="1"/>
  <c r="L11" i="82"/>
  <c r="K11" i="82"/>
  <c r="J11" i="82"/>
  <c r="I11" i="82"/>
  <c r="I10" i="82" s="1"/>
  <c r="I19" i="82" s="1"/>
  <c r="H11" i="82"/>
  <c r="H10" i="82" s="1"/>
  <c r="H19" i="82" s="1"/>
  <c r="G11" i="82"/>
  <c r="F11" i="82"/>
  <c r="E11" i="82"/>
  <c r="E10" i="82" s="1"/>
  <c r="E19" i="82" s="1"/>
  <c r="D11" i="82"/>
  <c r="B11" i="82"/>
  <c r="O10" i="82"/>
  <c r="O19" i="82" s="1"/>
  <c r="N10" i="82"/>
  <c r="L10" i="82"/>
  <c r="K10" i="82"/>
  <c r="K19" i="82" s="1"/>
  <c r="J10" i="82"/>
  <c r="J19" i="82" s="1"/>
  <c r="G10" i="82"/>
  <c r="G19" i="82" s="1"/>
  <c r="F10" i="82"/>
  <c r="F19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68" i="81"/>
  <c r="M63" i="81"/>
  <c r="L63" i="81"/>
  <c r="K63" i="81"/>
  <c r="J63" i="81"/>
  <c r="I63" i="81"/>
  <c r="H63" i="81"/>
  <c r="G63" i="81"/>
  <c r="F63" i="81"/>
  <c r="E63" i="81"/>
  <c r="D63" i="81"/>
  <c r="Q61" i="81"/>
  <c r="B61" i="81"/>
  <c r="Q60" i="81"/>
  <c r="B60" i="81"/>
  <c r="O59" i="81"/>
  <c r="N59" i="81"/>
  <c r="M59" i="81"/>
  <c r="L59" i="81"/>
  <c r="K59" i="81"/>
  <c r="J59" i="81"/>
  <c r="I59" i="81"/>
  <c r="H59" i="81"/>
  <c r="G59" i="81"/>
  <c r="F59" i="81"/>
  <c r="E59" i="81"/>
  <c r="D59" i="81"/>
  <c r="Q59" i="81" s="1"/>
  <c r="B59" i="81"/>
  <c r="Q58" i="81"/>
  <c r="B58" i="81"/>
  <c r="Q57" i="81"/>
  <c r="B57" i="81"/>
  <c r="O56" i="81"/>
  <c r="N56" i="81"/>
  <c r="M56" i="81"/>
  <c r="L56" i="81"/>
  <c r="K56" i="81"/>
  <c r="J56" i="81"/>
  <c r="I56" i="81"/>
  <c r="H56" i="81"/>
  <c r="G56" i="81"/>
  <c r="F56" i="81"/>
  <c r="E56" i="81"/>
  <c r="D56" i="81"/>
  <c r="Q56" i="81" s="1"/>
  <c r="B56" i="81"/>
  <c r="Q55" i="81"/>
  <c r="B55" i="81"/>
  <c r="Q54" i="81"/>
  <c r="B54" i="81"/>
  <c r="O53" i="81"/>
  <c r="N53" i="81"/>
  <c r="M53" i="81"/>
  <c r="L53" i="81"/>
  <c r="K53" i="81"/>
  <c r="J53" i="81"/>
  <c r="I53" i="81"/>
  <c r="H53" i="81"/>
  <c r="G53" i="81"/>
  <c r="F53" i="81"/>
  <c r="E53" i="81"/>
  <c r="D53" i="81"/>
  <c r="B53" i="81"/>
  <c r="Q52" i="81"/>
  <c r="B52" i="81"/>
  <c r="Q51" i="81"/>
  <c r="B51" i="81"/>
  <c r="O50" i="81"/>
  <c r="N50" i="81"/>
  <c r="M50" i="81"/>
  <c r="L50" i="81"/>
  <c r="K50" i="81"/>
  <c r="J50" i="81"/>
  <c r="I50" i="81"/>
  <c r="H50" i="81"/>
  <c r="G50" i="81"/>
  <c r="F50" i="81"/>
  <c r="E50" i="81"/>
  <c r="D50" i="81"/>
  <c r="Q50" i="81" s="1"/>
  <c r="B50" i="81"/>
  <c r="Q49" i="81"/>
  <c r="B49" i="81"/>
  <c r="O48" i="81"/>
  <c r="N48" i="81"/>
  <c r="M48" i="81"/>
  <c r="L48" i="81"/>
  <c r="K48" i="81"/>
  <c r="J48" i="81"/>
  <c r="I48" i="81"/>
  <c r="H48" i="81"/>
  <c r="G48" i="81"/>
  <c r="F48" i="81"/>
  <c r="E48" i="81"/>
  <c r="D48" i="81"/>
  <c r="Q48" i="81" s="1"/>
  <c r="B48" i="81"/>
  <c r="Q47" i="81"/>
  <c r="B47" i="81"/>
  <c r="O46" i="81"/>
  <c r="N46" i="81"/>
  <c r="M46" i="81"/>
  <c r="L46" i="81"/>
  <c r="K46" i="81"/>
  <c r="J46" i="81"/>
  <c r="I46" i="81"/>
  <c r="H46" i="81"/>
  <c r="G46" i="81"/>
  <c r="F46" i="81"/>
  <c r="E46" i="81"/>
  <c r="D46" i="81"/>
  <c r="B46" i="81"/>
  <c r="Q45" i="81"/>
  <c r="B45" i="81"/>
  <c r="O44" i="81"/>
  <c r="N44" i="81"/>
  <c r="M44" i="81"/>
  <c r="L44" i="81"/>
  <c r="L20" i="81" s="1"/>
  <c r="K44" i="81"/>
  <c r="J44" i="81"/>
  <c r="I44" i="81"/>
  <c r="H44" i="81"/>
  <c r="G44" i="81"/>
  <c r="F44" i="81"/>
  <c r="E44" i="81"/>
  <c r="D44" i="81"/>
  <c r="B44" i="81"/>
  <c r="Q43" i="81"/>
  <c r="B43" i="81"/>
  <c r="O42" i="81"/>
  <c r="N42" i="81"/>
  <c r="M42" i="81"/>
  <c r="L42" i="81"/>
  <c r="K42" i="81"/>
  <c r="J42" i="81"/>
  <c r="I42" i="81"/>
  <c r="H42" i="81"/>
  <c r="G42" i="81"/>
  <c r="F42" i="81"/>
  <c r="E42" i="81"/>
  <c r="D42" i="81"/>
  <c r="D20" i="81" s="1"/>
  <c r="B42" i="81"/>
  <c r="Q41" i="81"/>
  <c r="B41" i="81"/>
  <c r="Q40" i="81"/>
  <c r="B40" i="81"/>
  <c r="Q39" i="81"/>
  <c r="B39" i="81"/>
  <c r="Q38" i="81"/>
  <c r="B38" i="81"/>
  <c r="Q37" i="81"/>
  <c r="B37" i="81"/>
  <c r="Q36" i="81"/>
  <c r="B36" i="81"/>
  <c r="Q35" i="81"/>
  <c r="B35" i="81"/>
  <c r="Q34" i="81"/>
  <c r="B34" i="81"/>
  <c r="Q33" i="81"/>
  <c r="B33" i="81"/>
  <c r="Q32" i="81"/>
  <c r="B32" i="81"/>
  <c r="O31" i="81"/>
  <c r="N31" i="81"/>
  <c r="N20" i="81" s="1"/>
  <c r="M31" i="81"/>
  <c r="L31" i="81"/>
  <c r="K31" i="81"/>
  <c r="J31" i="81"/>
  <c r="I31" i="81"/>
  <c r="H31" i="81"/>
  <c r="G31" i="81"/>
  <c r="F31" i="81"/>
  <c r="F20" i="81" s="1"/>
  <c r="E31" i="81"/>
  <c r="D31" i="81"/>
  <c r="Q31" i="81" s="1"/>
  <c r="B31" i="81"/>
  <c r="Q30" i="81"/>
  <c r="B30" i="81"/>
  <c r="Q29" i="81"/>
  <c r="B29" i="81"/>
  <c r="Q28" i="81"/>
  <c r="B28" i="81"/>
  <c r="Q27" i="81"/>
  <c r="B27" i="81"/>
  <c r="Q26" i="81"/>
  <c r="B26" i="81"/>
  <c r="Q25" i="81"/>
  <c r="B25" i="81"/>
  <c r="Q24" i="81"/>
  <c r="B24" i="81"/>
  <c r="Q23" i="81"/>
  <c r="B23" i="81"/>
  <c r="Q22" i="81"/>
  <c r="B22" i="81"/>
  <c r="O21" i="81"/>
  <c r="N21" i="81"/>
  <c r="M21" i="81"/>
  <c r="L21" i="81"/>
  <c r="K21" i="81"/>
  <c r="J21" i="81"/>
  <c r="J20" i="81" s="1"/>
  <c r="I21" i="81"/>
  <c r="H21" i="81"/>
  <c r="G21" i="81"/>
  <c r="F21" i="81"/>
  <c r="E21" i="81"/>
  <c r="D21" i="81"/>
  <c r="B21" i="81"/>
  <c r="O20" i="81"/>
  <c r="M20" i="81"/>
  <c r="K20" i="81"/>
  <c r="I20" i="81"/>
  <c r="G20" i="81"/>
  <c r="E20" i="81"/>
  <c r="M18" i="81"/>
  <c r="N17" i="81"/>
  <c r="N18" i="81" s="1"/>
  <c r="L17" i="81"/>
  <c r="L18" i="81" s="1"/>
  <c r="Q15" i="81"/>
  <c r="Q14" i="81" s="1"/>
  <c r="B15" i="81"/>
  <c r="O14" i="81"/>
  <c r="N14" i="81"/>
  <c r="M14" i="81"/>
  <c r="L14" i="81"/>
  <c r="K14" i="81"/>
  <c r="J14" i="81"/>
  <c r="I14" i="81"/>
  <c r="H14" i="81"/>
  <c r="G14" i="81"/>
  <c r="F14" i="81"/>
  <c r="E14" i="81"/>
  <c r="D14" i="81"/>
  <c r="M12" i="81"/>
  <c r="L12" i="81"/>
  <c r="K12" i="81"/>
  <c r="J12" i="81"/>
  <c r="I12" i="81"/>
  <c r="H12" i="81"/>
  <c r="G12" i="81"/>
  <c r="F12" i="81"/>
  <c r="E12" i="81"/>
  <c r="D12" i="81"/>
  <c r="Q12" i="81" s="1"/>
  <c r="B12" i="81"/>
  <c r="M11" i="81"/>
  <c r="M10" i="81" s="1"/>
  <c r="M17" i="81" s="1"/>
  <c r="L11" i="81"/>
  <c r="K11" i="81"/>
  <c r="J11" i="81"/>
  <c r="I11" i="81"/>
  <c r="H11" i="81"/>
  <c r="G11" i="81"/>
  <c r="F11" i="81"/>
  <c r="E11" i="81"/>
  <c r="D11" i="81"/>
  <c r="B11" i="81"/>
  <c r="O10" i="81"/>
  <c r="O17" i="81" s="1"/>
  <c r="N10" i="81"/>
  <c r="L10" i="81"/>
  <c r="K10" i="81"/>
  <c r="K17" i="81" s="1"/>
  <c r="J10" i="81"/>
  <c r="J17" i="81" s="1"/>
  <c r="I10" i="81"/>
  <c r="I17" i="81" s="1"/>
  <c r="H10" i="81"/>
  <c r="H17" i="81" s="1"/>
  <c r="G10" i="81"/>
  <c r="G17" i="81" s="1"/>
  <c r="F10" i="81"/>
  <c r="F17" i="81" s="1"/>
  <c r="E10" i="81"/>
  <c r="E17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79" i="80"/>
  <c r="M74" i="80"/>
  <c r="L74" i="80"/>
  <c r="K74" i="80"/>
  <c r="J74" i="80"/>
  <c r="I74" i="80"/>
  <c r="H74" i="80"/>
  <c r="G74" i="80"/>
  <c r="F74" i="80"/>
  <c r="E74" i="80"/>
  <c r="D74" i="80"/>
  <c r="Q74" i="80" s="1"/>
  <c r="Q72" i="80"/>
  <c r="B72" i="80"/>
  <c r="O71" i="80"/>
  <c r="N71" i="80"/>
  <c r="M71" i="80"/>
  <c r="L71" i="80"/>
  <c r="K71" i="80"/>
  <c r="J71" i="80"/>
  <c r="I71" i="80"/>
  <c r="H71" i="80"/>
  <c r="G71" i="80"/>
  <c r="F71" i="80"/>
  <c r="E71" i="80"/>
  <c r="D71" i="80"/>
  <c r="Q71" i="80" s="1"/>
  <c r="B71" i="80"/>
  <c r="Q70" i="80"/>
  <c r="B70" i="80"/>
  <c r="Q69" i="80"/>
  <c r="B69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B68" i="80"/>
  <c r="Q67" i="80"/>
  <c r="B67" i="80"/>
  <c r="Q66" i="80"/>
  <c r="B66" i="80"/>
  <c r="Q65" i="80"/>
  <c r="B65" i="80"/>
  <c r="Q64" i="80"/>
  <c r="B64" i="80"/>
  <c r="O63" i="80"/>
  <c r="N63" i="80"/>
  <c r="M63" i="80"/>
  <c r="L63" i="80"/>
  <c r="K63" i="80"/>
  <c r="J63" i="80"/>
  <c r="I63" i="80"/>
  <c r="H63" i="80"/>
  <c r="G63" i="80"/>
  <c r="F63" i="80"/>
  <c r="E63" i="80"/>
  <c r="D63" i="80"/>
  <c r="Q63" i="80" s="1"/>
  <c r="B63" i="80"/>
  <c r="Q62" i="80"/>
  <c r="B62" i="80"/>
  <c r="Q61" i="80"/>
  <c r="B61" i="80"/>
  <c r="Q60" i="80"/>
  <c r="B60" i="80"/>
  <c r="Q59" i="80"/>
  <c r="B59" i="80"/>
  <c r="O58" i="80"/>
  <c r="N58" i="80"/>
  <c r="M58" i="80"/>
  <c r="L58" i="80"/>
  <c r="K58" i="80"/>
  <c r="J58" i="80"/>
  <c r="I58" i="80"/>
  <c r="H58" i="80"/>
  <c r="G58" i="80"/>
  <c r="F58" i="80"/>
  <c r="E58" i="80"/>
  <c r="D58" i="80"/>
  <c r="B58" i="80"/>
  <c r="Q57" i="80"/>
  <c r="B57" i="80"/>
  <c r="O56" i="80"/>
  <c r="N56" i="80"/>
  <c r="M56" i="80"/>
  <c r="L56" i="80"/>
  <c r="K56" i="80"/>
  <c r="J56" i="80"/>
  <c r="I56" i="80"/>
  <c r="H56" i="80"/>
  <c r="G56" i="80"/>
  <c r="F56" i="80"/>
  <c r="E56" i="80"/>
  <c r="D56" i="80"/>
  <c r="B56" i="80"/>
  <c r="Q55" i="80"/>
  <c r="B55" i="80"/>
  <c r="Q54" i="80"/>
  <c r="B54" i="80"/>
  <c r="O53" i="80"/>
  <c r="N53" i="80"/>
  <c r="M53" i="80"/>
  <c r="L53" i="80"/>
  <c r="K53" i="80"/>
  <c r="J53" i="80"/>
  <c r="I53" i="80"/>
  <c r="H53" i="80"/>
  <c r="G53" i="80"/>
  <c r="F53" i="80"/>
  <c r="E53" i="80"/>
  <c r="D53" i="80"/>
  <c r="Q53" i="80" s="1"/>
  <c r="B53" i="80"/>
  <c r="Q52" i="80"/>
  <c r="B52" i="80"/>
  <c r="O51" i="80"/>
  <c r="N51" i="80"/>
  <c r="M51" i="80"/>
  <c r="L51" i="80"/>
  <c r="K51" i="80"/>
  <c r="J51" i="80"/>
  <c r="I51" i="80"/>
  <c r="H51" i="80"/>
  <c r="G51" i="80"/>
  <c r="F51" i="80"/>
  <c r="E51" i="80"/>
  <c r="D51" i="80"/>
  <c r="Q51" i="80" s="1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Q49" i="80" s="1"/>
  <c r="B49" i="80"/>
  <c r="Q48" i="80"/>
  <c r="B48" i="80"/>
  <c r="O47" i="80"/>
  <c r="N47" i="80"/>
  <c r="M47" i="80"/>
  <c r="L47" i="80"/>
  <c r="K47" i="80"/>
  <c r="J47" i="80"/>
  <c r="I47" i="80"/>
  <c r="H47" i="80"/>
  <c r="G47" i="80"/>
  <c r="F47" i="80"/>
  <c r="E47" i="80"/>
  <c r="D47" i="80"/>
  <c r="Q47" i="80" s="1"/>
  <c r="B47" i="80"/>
  <c r="Q46" i="80"/>
  <c r="B46" i="80"/>
  <c r="Q45" i="80"/>
  <c r="B45" i="80"/>
  <c r="O44" i="80"/>
  <c r="N44" i="80"/>
  <c r="M44" i="80"/>
  <c r="L44" i="80"/>
  <c r="K44" i="80"/>
  <c r="J44" i="80"/>
  <c r="I44" i="80"/>
  <c r="H44" i="80"/>
  <c r="G44" i="80"/>
  <c r="F44" i="80"/>
  <c r="E44" i="80"/>
  <c r="D44" i="80"/>
  <c r="Q44" i="80" s="1"/>
  <c r="B44" i="80"/>
  <c r="Q43" i="80"/>
  <c r="B43" i="80"/>
  <c r="O42" i="80"/>
  <c r="N42" i="80"/>
  <c r="N19" i="80" s="1"/>
  <c r="N76" i="80" s="1"/>
  <c r="M42" i="80"/>
  <c r="L42" i="80"/>
  <c r="K42" i="80"/>
  <c r="J42" i="80"/>
  <c r="I42" i="80"/>
  <c r="H42" i="80"/>
  <c r="G42" i="80"/>
  <c r="F42" i="80"/>
  <c r="E42" i="80"/>
  <c r="D42" i="80"/>
  <c r="Q42" i="80" s="1"/>
  <c r="B42" i="80"/>
  <c r="Q41" i="80"/>
  <c r="B41" i="80"/>
  <c r="O40" i="80"/>
  <c r="N40" i="80"/>
  <c r="M40" i="80"/>
  <c r="L40" i="80"/>
  <c r="K40" i="80"/>
  <c r="J40" i="80"/>
  <c r="I40" i="80"/>
  <c r="H40" i="80"/>
  <c r="G40" i="80"/>
  <c r="F40" i="80"/>
  <c r="E40" i="80"/>
  <c r="D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Q30" i="80"/>
  <c r="B30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Q21" i="80"/>
  <c r="B21" i="80"/>
  <c r="O20" i="80"/>
  <c r="N20" i="80"/>
  <c r="M20" i="80"/>
  <c r="L20" i="80"/>
  <c r="K20" i="80"/>
  <c r="J20" i="80"/>
  <c r="I20" i="80"/>
  <c r="H20" i="80"/>
  <c r="H19" i="80" s="1"/>
  <c r="G20" i="80"/>
  <c r="F20" i="80"/>
  <c r="E20" i="80"/>
  <c r="D20" i="80"/>
  <c r="Q20" i="80" s="1"/>
  <c r="B20" i="80"/>
  <c r="O19" i="80"/>
  <c r="M19" i="80"/>
  <c r="L19" i="80"/>
  <c r="K19" i="80"/>
  <c r="I19" i="80"/>
  <c r="G19" i="80"/>
  <c r="E19" i="80"/>
  <c r="N16" i="80"/>
  <c r="N17" i="80" s="1"/>
  <c r="Q14" i="80"/>
  <c r="Q13" i="80" s="1"/>
  <c r="B14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M11" i="80"/>
  <c r="M10" i="80" s="1"/>
  <c r="M16" i="80" s="1"/>
  <c r="L11" i="80"/>
  <c r="L10" i="80" s="1"/>
  <c r="L16" i="80" s="1"/>
  <c r="K11" i="80"/>
  <c r="J11" i="80"/>
  <c r="I11" i="80"/>
  <c r="I10" i="80" s="1"/>
  <c r="I16" i="80" s="1"/>
  <c r="H11" i="80"/>
  <c r="G11" i="80"/>
  <c r="F11" i="80"/>
  <c r="E11" i="80"/>
  <c r="E10" i="80" s="1"/>
  <c r="E16" i="80" s="1"/>
  <c r="D11" i="80"/>
  <c r="B11" i="80"/>
  <c r="O10" i="80"/>
  <c r="O16" i="80" s="1"/>
  <c r="N10" i="80"/>
  <c r="K10" i="80"/>
  <c r="K16" i="80" s="1"/>
  <c r="J10" i="80"/>
  <c r="J16" i="80" s="1"/>
  <c r="H10" i="80"/>
  <c r="H16" i="80" s="1"/>
  <c r="G10" i="80"/>
  <c r="G16" i="80" s="1"/>
  <c r="F10" i="80"/>
  <c r="F16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85" i="79"/>
  <c r="M80" i="79"/>
  <c r="L80" i="79"/>
  <c r="K80" i="79"/>
  <c r="J80" i="79"/>
  <c r="I80" i="79"/>
  <c r="H80" i="79"/>
  <c r="G80" i="79"/>
  <c r="F80" i="79"/>
  <c r="E80" i="79"/>
  <c r="D80" i="79"/>
  <c r="Q78" i="79"/>
  <c r="B78" i="79"/>
  <c r="O77" i="79"/>
  <c r="N77" i="79"/>
  <c r="M77" i="79"/>
  <c r="L77" i="79"/>
  <c r="K77" i="79"/>
  <c r="J77" i="79"/>
  <c r="I77" i="79"/>
  <c r="H77" i="79"/>
  <c r="G77" i="79"/>
  <c r="F77" i="79"/>
  <c r="E77" i="79"/>
  <c r="D77" i="79"/>
  <c r="Q77" i="79" s="1"/>
  <c r="B77" i="79"/>
  <c r="Q76" i="79"/>
  <c r="B76" i="79"/>
  <c r="O75" i="79"/>
  <c r="N75" i="79"/>
  <c r="M75" i="79"/>
  <c r="L75" i="79"/>
  <c r="K75" i="79"/>
  <c r="J75" i="79"/>
  <c r="I75" i="79"/>
  <c r="H75" i="79"/>
  <c r="G75" i="79"/>
  <c r="F75" i="79"/>
  <c r="E75" i="79"/>
  <c r="D75" i="79"/>
  <c r="Q75" i="79" s="1"/>
  <c r="B75" i="79"/>
  <c r="Q74" i="79"/>
  <c r="B74" i="79"/>
  <c r="O73" i="79"/>
  <c r="N73" i="79"/>
  <c r="M73" i="79"/>
  <c r="L73" i="79"/>
  <c r="K73" i="79"/>
  <c r="J73" i="79"/>
  <c r="I73" i="79"/>
  <c r="H73" i="79"/>
  <c r="G73" i="79"/>
  <c r="F73" i="79"/>
  <c r="E73" i="79"/>
  <c r="D73" i="79"/>
  <c r="B73" i="79"/>
  <c r="Q72" i="79"/>
  <c r="B72" i="79"/>
  <c r="Q71" i="79"/>
  <c r="B71" i="79"/>
  <c r="Q70" i="79"/>
  <c r="B70" i="79"/>
  <c r="Q69" i="79"/>
  <c r="B69" i="79"/>
  <c r="Q68" i="79"/>
  <c r="B68" i="79"/>
  <c r="Q67" i="79"/>
  <c r="B67" i="79"/>
  <c r="O66" i="79"/>
  <c r="N66" i="79"/>
  <c r="M66" i="79"/>
  <c r="L66" i="79"/>
  <c r="K66" i="79"/>
  <c r="J66" i="79"/>
  <c r="I66" i="79"/>
  <c r="H66" i="79"/>
  <c r="G66" i="79"/>
  <c r="F66" i="79"/>
  <c r="E66" i="79"/>
  <c r="D66" i="79"/>
  <c r="B66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Q64" i="79" s="1"/>
  <c r="B64" i="79"/>
  <c r="Q63" i="79"/>
  <c r="B63" i="79"/>
  <c r="Q62" i="79"/>
  <c r="B62" i="79"/>
  <c r="Q61" i="79"/>
  <c r="B61" i="79"/>
  <c r="Q60" i="79"/>
  <c r="B60" i="79"/>
  <c r="O59" i="79"/>
  <c r="N59" i="79"/>
  <c r="M59" i="79"/>
  <c r="L59" i="79"/>
  <c r="K59" i="79"/>
  <c r="J59" i="79"/>
  <c r="I59" i="79"/>
  <c r="H59" i="79"/>
  <c r="G59" i="79"/>
  <c r="F59" i="79"/>
  <c r="E59" i="79"/>
  <c r="D59" i="79"/>
  <c r="Q59" i="79" s="1"/>
  <c r="B59" i="79"/>
  <c r="Q58" i="79"/>
  <c r="B58" i="79"/>
  <c r="Q57" i="79"/>
  <c r="B57" i="79"/>
  <c r="Q56" i="79"/>
  <c r="B56" i="79"/>
  <c r="Q55" i="79"/>
  <c r="B55" i="79"/>
  <c r="O54" i="79"/>
  <c r="N54" i="79"/>
  <c r="M54" i="79"/>
  <c r="L54" i="79"/>
  <c r="K54" i="79"/>
  <c r="J54" i="79"/>
  <c r="I54" i="79"/>
  <c r="H54" i="79"/>
  <c r="G54" i="79"/>
  <c r="F54" i="79"/>
  <c r="E54" i="79"/>
  <c r="D54" i="79"/>
  <c r="Q54" i="79" s="1"/>
  <c r="B54" i="79"/>
  <c r="Q53" i="79"/>
  <c r="B53" i="79"/>
  <c r="O52" i="79"/>
  <c r="N52" i="79"/>
  <c r="M52" i="79"/>
  <c r="L52" i="79"/>
  <c r="K52" i="79"/>
  <c r="J52" i="79"/>
  <c r="I52" i="79"/>
  <c r="H52" i="79"/>
  <c r="G52" i="79"/>
  <c r="F52" i="79"/>
  <c r="E52" i="79"/>
  <c r="D52" i="79"/>
  <c r="Q52" i="79" s="1"/>
  <c r="B52" i="79"/>
  <c r="Q51" i="79"/>
  <c r="B51" i="79"/>
  <c r="O50" i="79"/>
  <c r="N50" i="79"/>
  <c r="M50" i="79"/>
  <c r="L50" i="79"/>
  <c r="K50" i="79"/>
  <c r="J50" i="79"/>
  <c r="I50" i="79"/>
  <c r="H50" i="79"/>
  <c r="G50" i="79"/>
  <c r="F50" i="79"/>
  <c r="E50" i="79"/>
  <c r="D50" i="79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D48" i="79"/>
  <c r="Q48" i="79" s="1"/>
  <c r="B48" i="79"/>
  <c r="Q47" i="79"/>
  <c r="B47" i="79"/>
  <c r="O46" i="79"/>
  <c r="N46" i="79"/>
  <c r="M46" i="79"/>
  <c r="L46" i="79"/>
  <c r="K46" i="79"/>
  <c r="J46" i="79"/>
  <c r="I46" i="79"/>
  <c r="H46" i="79"/>
  <c r="G46" i="79"/>
  <c r="F46" i="79"/>
  <c r="E46" i="79"/>
  <c r="D46" i="79"/>
  <c r="B46" i="79"/>
  <c r="Q45" i="79"/>
  <c r="B45" i="79"/>
  <c r="Q44" i="79"/>
  <c r="B44" i="79"/>
  <c r="O43" i="79"/>
  <c r="N43" i="79"/>
  <c r="M43" i="79"/>
  <c r="L43" i="79"/>
  <c r="K43" i="79"/>
  <c r="J43" i="79"/>
  <c r="I43" i="79"/>
  <c r="H43" i="79"/>
  <c r="G43" i="79"/>
  <c r="F43" i="79"/>
  <c r="E43" i="79"/>
  <c r="D43" i="79"/>
  <c r="B43" i="79"/>
  <c r="Q42" i="79"/>
  <c r="B42" i="79"/>
  <c r="O41" i="79"/>
  <c r="N41" i="79"/>
  <c r="M41" i="79"/>
  <c r="L41" i="79"/>
  <c r="K41" i="79"/>
  <c r="J41" i="79"/>
  <c r="I41" i="79"/>
  <c r="H41" i="79"/>
  <c r="G41" i="79"/>
  <c r="F41" i="79"/>
  <c r="E41" i="79"/>
  <c r="D41" i="79"/>
  <c r="Q41" i="79" s="1"/>
  <c r="B41" i="79"/>
  <c r="Q40" i="79"/>
  <c r="B40" i="79"/>
  <c r="O39" i="79"/>
  <c r="N39" i="79"/>
  <c r="M39" i="79"/>
  <c r="L39" i="79"/>
  <c r="K39" i="79"/>
  <c r="J39" i="79"/>
  <c r="I39" i="79"/>
  <c r="H39" i="79"/>
  <c r="G39" i="79"/>
  <c r="F39" i="79"/>
  <c r="E39" i="79"/>
  <c r="D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Q31" i="79"/>
  <c r="B31" i="79"/>
  <c r="Q30" i="79"/>
  <c r="B30" i="79"/>
  <c r="Q29" i="79"/>
  <c r="B29" i="79"/>
  <c r="O28" i="79"/>
  <c r="N28" i="79"/>
  <c r="M28" i="79"/>
  <c r="L28" i="79"/>
  <c r="K28" i="79"/>
  <c r="J28" i="79"/>
  <c r="J17" i="79" s="1"/>
  <c r="I28" i="79"/>
  <c r="H28" i="79"/>
  <c r="H17" i="79" s="1"/>
  <c r="G28" i="79"/>
  <c r="F28" i="79"/>
  <c r="E28" i="79"/>
  <c r="D28" i="79"/>
  <c r="Q28" i="79" s="1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Q21" i="79"/>
  <c r="B21" i="79"/>
  <c r="Q20" i="79"/>
  <c r="B20" i="79"/>
  <c r="Q19" i="79"/>
  <c r="B19" i="79"/>
  <c r="O18" i="79"/>
  <c r="N18" i="79"/>
  <c r="M18" i="79"/>
  <c r="L18" i="79"/>
  <c r="K18" i="79"/>
  <c r="J18" i="79"/>
  <c r="I18" i="79"/>
  <c r="H18" i="79"/>
  <c r="G18" i="79"/>
  <c r="F18" i="79"/>
  <c r="E18" i="79"/>
  <c r="D18" i="79"/>
  <c r="Q18" i="79" s="1"/>
  <c r="B18" i="79"/>
  <c r="O17" i="79"/>
  <c r="M17" i="79"/>
  <c r="K17" i="79"/>
  <c r="I17" i="79"/>
  <c r="G17" i="79"/>
  <c r="F17" i="79"/>
  <c r="E17" i="79"/>
  <c r="G15" i="79"/>
  <c r="Q14" i="79"/>
  <c r="M14" i="79"/>
  <c r="M15" i="79" s="1"/>
  <c r="D14" i="79"/>
  <c r="Q12" i="79"/>
  <c r="O12" i="79"/>
  <c r="N12" i="79"/>
  <c r="N14" i="79" s="1"/>
  <c r="N15" i="79" s="1"/>
  <c r="M12" i="79"/>
  <c r="L12" i="79"/>
  <c r="K12" i="79"/>
  <c r="J12" i="79"/>
  <c r="I12" i="79"/>
  <c r="H12" i="79"/>
  <c r="G12" i="79"/>
  <c r="G14" i="79" s="1"/>
  <c r="G82" i="79" s="1"/>
  <c r="F12" i="79"/>
  <c r="E12" i="79"/>
  <c r="D12" i="79"/>
  <c r="Q10" i="79"/>
  <c r="O10" i="79"/>
  <c r="O14" i="79" s="1"/>
  <c r="O82" i="79" s="1"/>
  <c r="N10" i="79"/>
  <c r="M10" i="79"/>
  <c r="L10" i="79"/>
  <c r="L14" i="79" s="1"/>
  <c r="K10" i="79"/>
  <c r="K14" i="79" s="1"/>
  <c r="J10" i="79"/>
  <c r="J14" i="79" s="1"/>
  <c r="I10" i="79"/>
  <c r="H10" i="79"/>
  <c r="H14" i="79" s="1"/>
  <c r="G10" i="79"/>
  <c r="F10" i="79"/>
  <c r="F14" i="79" s="1"/>
  <c r="E10" i="79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34" i="78"/>
  <c r="E32" i="78"/>
  <c r="M29" i="78"/>
  <c r="L29" i="78"/>
  <c r="K29" i="78"/>
  <c r="J29" i="78"/>
  <c r="I29" i="78"/>
  <c r="H29" i="78"/>
  <c r="G29" i="78"/>
  <c r="F29" i="78"/>
  <c r="E29" i="78"/>
  <c r="D29" i="78"/>
  <c r="Q27" i="78"/>
  <c r="B27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Q26" i="78" s="1"/>
  <c r="B26" i="78"/>
  <c r="Q25" i="78"/>
  <c r="B25" i="78"/>
  <c r="O24" i="78"/>
  <c r="N24" i="78"/>
  <c r="M24" i="78"/>
  <c r="L24" i="78"/>
  <c r="K24" i="78"/>
  <c r="J24" i="78"/>
  <c r="I24" i="78"/>
  <c r="H24" i="78"/>
  <c r="G24" i="78"/>
  <c r="F24" i="78"/>
  <c r="E24" i="78"/>
  <c r="D24" i="78"/>
  <c r="B24" i="78"/>
  <c r="Q23" i="78"/>
  <c r="B23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Q22" i="78" s="1"/>
  <c r="B22" i="78"/>
  <c r="Q21" i="78"/>
  <c r="B21" i="78"/>
  <c r="O20" i="78"/>
  <c r="N20" i="78"/>
  <c r="M20" i="78"/>
  <c r="L20" i="78"/>
  <c r="K20" i="78"/>
  <c r="J20" i="78"/>
  <c r="J17" i="78" s="1"/>
  <c r="I20" i="78"/>
  <c r="H20" i="78"/>
  <c r="G20" i="78"/>
  <c r="F20" i="78"/>
  <c r="E20" i="78"/>
  <c r="D20" i="78"/>
  <c r="B20" i="78"/>
  <c r="Q19" i="78"/>
  <c r="B19" i="78"/>
  <c r="O18" i="78"/>
  <c r="N18" i="78"/>
  <c r="M18" i="78"/>
  <c r="L18" i="78"/>
  <c r="L17" i="78" s="1"/>
  <c r="K18" i="78"/>
  <c r="J18" i="78"/>
  <c r="I18" i="78"/>
  <c r="H18" i="78"/>
  <c r="H17" i="78" s="1"/>
  <c r="G18" i="78"/>
  <c r="F18" i="78"/>
  <c r="E18" i="78"/>
  <c r="E17" i="78" s="1"/>
  <c r="D18" i="78"/>
  <c r="B18" i="78"/>
  <c r="O17" i="78"/>
  <c r="N17" i="78"/>
  <c r="M17" i="78"/>
  <c r="K17" i="78"/>
  <c r="I17" i="78"/>
  <c r="G17" i="78"/>
  <c r="E15" i="78"/>
  <c r="Q14" i="78"/>
  <c r="L14" i="78"/>
  <c r="I14" i="78"/>
  <c r="I15" i="78" s="1"/>
  <c r="F14" i="78"/>
  <c r="F15" i="78" s="1"/>
  <c r="D14" i="78"/>
  <c r="D15" i="78" s="1"/>
  <c r="Q12" i="78"/>
  <c r="O12" i="78"/>
  <c r="N12" i="78"/>
  <c r="M12" i="78"/>
  <c r="L12" i="78"/>
  <c r="K12" i="78"/>
  <c r="J12" i="78"/>
  <c r="I12" i="78"/>
  <c r="H12" i="78"/>
  <c r="G12" i="78"/>
  <c r="F12" i="78"/>
  <c r="E12" i="78"/>
  <c r="D12" i="78"/>
  <c r="Q10" i="78"/>
  <c r="O10" i="78"/>
  <c r="N10" i="78"/>
  <c r="N14" i="78" s="1"/>
  <c r="M10" i="78"/>
  <c r="L10" i="78"/>
  <c r="K10" i="78"/>
  <c r="K14" i="78" s="1"/>
  <c r="J10" i="78"/>
  <c r="J14" i="78" s="1"/>
  <c r="I10" i="78"/>
  <c r="H10" i="78"/>
  <c r="H14" i="78" s="1"/>
  <c r="H15" i="78" s="1"/>
  <c r="G10" i="78"/>
  <c r="G14" i="78" s="1"/>
  <c r="F10" i="78"/>
  <c r="E10" i="78"/>
  <c r="E14" i="78" s="1"/>
  <c r="E31" i="78" s="1"/>
  <c r="E36" i="78" s="1"/>
  <c r="D10" i="78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88" i="77"/>
  <c r="Q83" i="77"/>
  <c r="M83" i="77"/>
  <c r="L83" i="77"/>
  <c r="K83" i="77"/>
  <c r="J83" i="77"/>
  <c r="I83" i="77"/>
  <c r="H83" i="77"/>
  <c r="G83" i="77"/>
  <c r="F83" i="77"/>
  <c r="E83" i="77"/>
  <c r="D83" i="77"/>
  <c r="Q81" i="77"/>
  <c r="B81" i="77"/>
  <c r="O80" i="77"/>
  <c r="N80" i="77"/>
  <c r="M80" i="77"/>
  <c r="L80" i="77"/>
  <c r="K80" i="77"/>
  <c r="J80" i="77"/>
  <c r="I80" i="77"/>
  <c r="H80" i="77"/>
  <c r="G80" i="77"/>
  <c r="F80" i="77"/>
  <c r="E80" i="77"/>
  <c r="D80" i="77"/>
  <c r="Q80" i="77" s="1"/>
  <c r="B80" i="77"/>
  <c r="Q79" i="77"/>
  <c r="B79" i="77"/>
  <c r="O78" i="77"/>
  <c r="N78" i="77"/>
  <c r="M78" i="77"/>
  <c r="L78" i="77"/>
  <c r="K78" i="77"/>
  <c r="J78" i="77"/>
  <c r="I78" i="77"/>
  <c r="H78" i="77"/>
  <c r="G78" i="77"/>
  <c r="F78" i="77"/>
  <c r="E78" i="77"/>
  <c r="D78" i="77"/>
  <c r="B78" i="77"/>
  <c r="Q77" i="77"/>
  <c r="B77" i="77"/>
  <c r="Q76" i="77"/>
  <c r="B76" i="77"/>
  <c r="Q75" i="77"/>
  <c r="B75" i="77"/>
  <c r="Q74" i="77"/>
  <c r="B74" i="77"/>
  <c r="Q73" i="77"/>
  <c r="B73" i="77"/>
  <c r="Q72" i="77"/>
  <c r="B72" i="77"/>
  <c r="Q71" i="77"/>
  <c r="B71" i="77"/>
  <c r="Q70" i="77"/>
  <c r="B70" i="77"/>
  <c r="O69" i="77"/>
  <c r="N69" i="77"/>
  <c r="M69" i="77"/>
  <c r="L69" i="77"/>
  <c r="K69" i="77"/>
  <c r="J69" i="77"/>
  <c r="I69" i="77"/>
  <c r="H69" i="77"/>
  <c r="G69" i="77"/>
  <c r="F69" i="77"/>
  <c r="E69" i="77"/>
  <c r="D69" i="77"/>
  <c r="Q69" i="77" s="1"/>
  <c r="B69" i="77"/>
  <c r="Q68" i="77"/>
  <c r="B68" i="77"/>
  <c r="O67" i="77"/>
  <c r="N67" i="77"/>
  <c r="M67" i="77"/>
  <c r="L67" i="77"/>
  <c r="K67" i="77"/>
  <c r="J67" i="77"/>
  <c r="I67" i="77"/>
  <c r="H67" i="77"/>
  <c r="G67" i="77"/>
  <c r="F67" i="77"/>
  <c r="E67" i="77"/>
  <c r="D67" i="77"/>
  <c r="Q67" i="77" s="1"/>
  <c r="B67" i="77"/>
  <c r="Q66" i="77"/>
  <c r="B66" i="77"/>
  <c r="Q65" i="77"/>
  <c r="B65" i="77"/>
  <c r="Q64" i="77"/>
  <c r="B64" i="77"/>
  <c r="Q63" i="77"/>
  <c r="B63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Q62" i="77" s="1"/>
  <c r="B62" i="77"/>
  <c r="Q61" i="77"/>
  <c r="B61" i="77"/>
  <c r="O60" i="77"/>
  <c r="N60" i="77"/>
  <c r="M60" i="77"/>
  <c r="L60" i="77"/>
  <c r="K60" i="77"/>
  <c r="J60" i="77"/>
  <c r="I60" i="77"/>
  <c r="H60" i="77"/>
  <c r="G60" i="77"/>
  <c r="F60" i="77"/>
  <c r="E60" i="77"/>
  <c r="D60" i="77"/>
  <c r="B60" i="77"/>
  <c r="Q59" i="77"/>
  <c r="B59" i="77"/>
  <c r="Q58" i="77"/>
  <c r="B58" i="77"/>
  <c r="O57" i="77"/>
  <c r="O21" i="77" s="1"/>
  <c r="O85" i="77" s="1"/>
  <c r="N57" i="77"/>
  <c r="M57" i="77"/>
  <c r="L57" i="77"/>
  <c r="K57" i="77"/>
  <c r="J57" i="77"/>
  <c r="I57" i="77"/>
  <c r="H57" i="77"/>
  <c r="G57" i="77"/>
  <c r="F57" i="77"/>
  <c r="E57" i="77"/>
  <c r="D57" i="77"/>
  <c r="Q57" i="77" s="1"/>
  <c r="B57" i="77"/>
  <c r="Q56" i="77"/>
  <c r="B56" i="77"/>
  <c r="O55" i="77"/>
  <c r="N55" i="77"/>
  <c r="M55" i="77"/>
  <c r="L55" i="77"/>
  <c r="K55" i="77"/>
  <c r="J55" i="77"/>
  <c r="I55" i="77"/>
  <c r="H55" i="77"/>
  <c r="G55" i="77"/>
  <c r="F55" i="77"/>
  <c r="E55" i="77"/>
  <c r="D55" i="77"/>
  <c r="B55" i="77"/>
  <c r="Q54" i="77"/>
  <c r="B54" i="77"/>
  <c r="O53" i="77"/>
  <c r="N53" i="77"/>
  <c r="M53" i="77"/>
  <c r="L53" i="77"/>
  <c r="K53" i="77"/>
  <c r="K21" i="77" s="1"/>
  <c r="J53" i="77"/>
  <c r="J21" i="77" s="1"/>
  <c r="I53" i="77"/>
  <c r="H53" i="77"/>
  <c r="G53" i="77"/>
  <c r="F53" i="77"/>
  <c r="E53" i="77"/>
  <c r="D53" i="77"/>
  <c r="B53" i="77"/>
  <c r="Q52" i="77"/>
  <c r="B52" i="77"/>
  <c r="O51" i="77"/>
  <c r="N51" i="77"/>
  <c r="M51" i="77"/>
  <c r="L51" i="77"/>
  <c r="K51" i="77"/>
  <c r="J51" i="77"/>
  <c r="I51" i="77"/>
  <c r="H51" i="77"/>
  <c r="G51" i="77"/>
  <c r="F51" i="77"/>
  <c r="E51" i="77"/>
  <c r="D51" i="77"/>
  <c r="Q51" i="77" s="1"/>
  <c r="B51" i="77"/>
  <c r="Q50" i="77"/>
  <c r="B50" i="77"/>
  <c r="O49" i="77"/>
  <c r="N49" i="77"/>
  <c r="M49" i="77"/>
  <c r="L49" i="77"/>
  <c r="K49" i="77"/>
  <c r="J49" i="77"/>
  <c r="I49" i="77"/>
  <c r="H49" i="77"/>
  <c r="G49" i="77"/>
  <c r="F49" i="77"/>
  <c r="E49" i="77"/>
  <c r="D49" i="77"/>
  <c r="Q49" i="77" s="1"/>
  <c r="B49" i="77"/>
  <c r="Q48" i="77"/>
  <c r="B48" i="77"/>
  <c r="Q47" i="77"/>
  <c r="B47" i="77"/>
  <c r="O46" i="77"/>
  <c r="N46" i="77"/>
  <c r="M46" i="77"/>
  <c r="L46" i="77"/>
  <c r="K46" i="77"/>
  <c r="J46" i="77"/>
  <c r="I46" i="77"/>
  <c r="H46" i="77"/>
  <c r="G46" i="77"/>
  <c r="F46" i="77"/>
  <c r="E46" i="77"/>
  <c r="D46" i="77"/>
  <c r="Q46" i="77" s="1"/>
  <c r="B46" i="77"/>
  <c r="Q45" i="77"/>
  <c r="B45" i="77"/>
  <c r="O44" i="77"/>
  <c r="N44" i="77"/>
  <c r="M44" i="77"/>
  <c r="L44" i="77"/>
  <c r="K44" i="77"/>
  <c r="J44" i="77"/>
  <c r="I44" i="77"/>
  <c r="H44" i="77"/>
  <c r="G44" i="77"/>
  <c r="F44" i="77"/>
  <c r="E44" i="77"/>
  <c r="D44" i="77"/>
  <c r="Q44" i="77" s="1"/>
  <c r="B44" i="77"/>
  <c r="Q43" i="77"/>
  <c r="B43" i="77"/>
  <c r="O42" i="77"/>
  <c r="N42" i="77"/>
  <c r="M42" i="77"/>
  <c r="L42" i="77"/>
  <c r="K42" i="77"/>
  <c r="J42" i="77"/>
  <c r="I42" i="77"/>
  <c r="I21" i="77" s="1"/>
  <c r="H42" i="77"/>
  <c r="G42" i="77"/>
  <c r="F42" i="77"/>
  <c r="E42" i="77"/>
  <c r="D42" i="77"/>
  <c r="Q42" i="77" s="1"/>
  <c r="B42" i="77"/>
  <c r="Q41" i="77"/>
  <c r="B41" i="77"/>
  <c r="Q40" i="77"/>
  <c r="B40" i="77"/>
  <c r="Q39" i="77"/>
  <c r="B39" i="77"/>
  <c r="Q38" i="77"/>
  <c r="B38" i="77"/>
  <c r="Q37" i="77"/>
  <c r="B37" i="77"/>
  <c r="Q36" i="77"/>
  <c r="B36" i="77"/>
  <c r="Q35" i="77"/>
  <c r="B35" i="77"/>
  <c r="Q34" i="77"/>
  <c r="B34" i="77"/>
  <c r="Q33" i="77"/>
  <c r="B33" i="77"/>
  <c r="Q32" i="77"/>
  <c r="B32" i="77"/>
  <c r="O31" i="77"/>
  <c r="N31" i="77"/>
  <c r="M31" i="77"/>
  <c r="L31" i="77"/>
  <c r="K31" i="77"/>
  <c r="J31" i="77"/>
  <c r="I31" i="77"/>
  <c r="H31" i="77"/>
  <c r="G31" i="77"/>
  <c r="F31" i="77"/>
  <c r="E31" i="77"/>
  <c r="D31" i="77"/>
  <c r="B31" i="77"/>
  <c r="Q30" i="77"/>
  <c r="B30" i="77"/>
  <c r="Q29" i="77"/>
  <c r="B29" i="77"/>
  <c r="Q28" i="77"/>
  <c r="B28" i="77"/>
  <c r="Q27" i="77"/>
  <c r="B27" i="77"/>
  <c r="Q26" i="77"/>
  <c r="B26" i="77"/>
  <c r="Q25" i="77"/>
  <c r="B25" i="77"/>
  <c r="Q24" i="77"/>
  <c r="B24" i="77"/>
  <c r="Q23" i="77"/>
  <c r="B23" i="77"/>
  <c r="O22" i="77"/>
  <c r="N22" i="77"/>
  <c r="M22" i="77"/>
  <c r="M21" i="77" s="1"/>
  <c r="L22" i="77"/>
  <c r="L21" i="77" s="1"/>
  <c r="K22" i="77"/>
  <c r="J22" i="77"/>
  <c r="I22" i="77"/>
  <c r="H22" i="77"/>
  <c r="G22" i="77"/>
  <c r="F22" i="77"/>
  <c r="F21" i="77" s="1"/>
  <c r="E22" i="77"/>
  <c r="E21" i="77" s="1"/>
  <c r="D22" i="77"/>
  <c r="B22" i="77"/>
  <c r="N21" i="77"/>
  <c r="O19" i="77"/>
  <c r="Q16" i="77"/>
  <c r="B16" i="77"/>
  <c r="Q15" i="77"/>
  <c r="Q14" i="77" s="1"/>
  <c r="B15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M12" i="77"/>
  <c r="L12" i="77"/>
  <c r="K12" i="77"/>
  <c r="J12" i="77"/>
  <c r="I12" i="77"/>
  <c r="H12" i="77"/>
  <c r="G12" i="77"/>
  <c r="F12" i="77"/>
  <c r="E12" i="77"/>
  <c r="D12" i="77"/>
  <c r="Q12" i="77" s="1"/>
  <c r="B12" i="77"/>
  <c r="M11" i="77"/>
  <c r="M10" i="77" s="1"/>
  <c r="M18" i="77" s="1"/>
  <c r="L11" i="77"/>
  <c r="L10" i="77" s="1"/>
  <c r="L18" i="77" s="1"/>
  <c r="K11" i="77"/>
  <c r="J11" i="77"/>
  <c r="I11" i="77"/>
  <c r="I10" i="77" s="1"/>
  <c r="I18" i="77" s="1"/>
  <c r="H11" i="77"/>
  <c r="G11" i="77"/>
  <c r="F11" i="77"/>
  <c r="E11" i="77"/>
  <c r="E10" i="77" s="1"/>
  <c r="E18" i="77" s="1"/>
  <c r="D11" i="77"/>
  <c r="Q11" i="77" s="1"/>
  <c r="Q10" i="77" s="1"/>
  <c r="Q18" i="77" s="1"/>
  <c r="B11" i="77"/>
  <c r="O10" i="77"/>
  <c r="O18" i="77" s="1"/>
  <c r="N10" i="77"/>
  <c r="N18" i="77" s="1"/>
  <c r="N19" i="77" s="1"/>
  <c r="K10" i="77"/>
  <c r="K18" i="77" s="1"/>
  <c r="J10" i="77"/>
  <c r="J18" i="77" s="1"/>
  <c r="G10" i="77"/>
  <c r="G18" i="77" s="1"/>
  <c r="F10" i="77"/>
  <c r="F18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32" i="76"/>
  <c r="M27" i="76"/>
  <c r="L27" i="76"/>
  <c r="K27" i="76"/>
  <c r="J27" i="76"/>
  <c r="I27" i="76"/>
  <c r="H27" i="76"/>
  <c r="G27" i="76"/>
  <c r="F27" i="76"/>
  <c r="E27" i="76"/>
  <c r="D27" i="76"/>
  <c r="Q25" i="76"/>
  <c r="B25" i="76"/>
  <c r="O24" i="76"/>
  <c r="N24" i="76"/>
  <c r="M24" i="76"/>
  <c r="L24" i="76"/>
  <c r="K24" i="76"/>
  <c r="J24" i="76"/>
  <c r="I24" i="76"/>
  <c r="H24" i="76"/>
  <c r="G24" i="76"/>
  <c r="F24" i="76"/>
  <c r="E24" i="76"/>
  <c r="D24" i="76"/>
  <c r="B24" i="76"/>
  <c r="Q23" i="76"/>
  <c r="B23" i="76"/>
  <c r="O22" i="76"/>
  <c r="N22" i="76"/>
  <c r="M22" i="76"/>
  <c r="M21" i="76" s="1"/>
  <c r="L22" i="76"/>
  <c r="L21" i="76" s="1"/>
  <c r="K22" i="76"/>
  <c r="J22" i="76"/>
  <c r="I22" i="76"/>
  <c r="H22" i="76"/>
  <c r="G22" i="76"/>
  <c r="G21" i="76" s="1"/>
  <c r="F22" i="76"/>
  <c r="F21" i="76" s="1"/>
  <c r="F29" i="76" s="1"/>
  <c r="E22" i="76"/>
  <c r="E21" i="76" s="1"/>
  <c r="D22" i="76"/>
  <c r="Q22" i="76" s="1"/>
  <c r="B22" i="76"/>
  <c r="O21" i="76"/>
  <c r="N21" i="76"/>
  <c r="K21" i="76"/>
  <c r="J21" i="76"/>
  <c r="Q16" i="76"/>
  <c r="B16" i="76"/>
  <c r="Q15" i="76"/>
  <c r="Q14" i="76" s="1"/>
  <c r="B15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M12" i="76"/>
  <c r="L12" i="76"/>
  <c r="K12" i="76"/>
  <c r="J12" i="76"/>
  <c r="I12" i="76"/>
  <c r="H12" i="76"/>
  <c r="G12" i="76"/>
  <c r="F12" i="76"/>
  <c r="E12" i="76"/>
  <c r="D12" i="76"/>
  <c r="B12" i="76"/>
  <c r="M11" i="76"/>
  <c r="M10" i="76" s="1"/>
  <c r="M18" i="76" s="1"/>
  <c r="L11" i="76"/>
  <c r="L10" i="76" s="1"/>
  <c r="L18" i="76" s="1"/>
  <c r="K11" i="76"/>
  <c r="J11" i="76"/>
  <c r="I11" i="76"/>
  <c r="H11" i="76"/>
  <c r="H10" i="76" s="1"/>
  <c r="H18" i="76" s="1"/>
  <c r="G11" i="76"/>
  <c r="F11" i="76"/>
  <c r="E11" i="76"/>
  <c r="E10" i="76" s="1"/>
  <c r="E18" i="76" s="1"/>
  <c r="D11" i="76"/>
  <c r="Q11" i="76" s="1"/>
  <c r="B11" i="76"/>
  <c r="O10" i="76"/>
  <c r="O18" i="76" s="1"/>
  <c r="O29" i="76" s="1"/>
  <c r="O30" i="76" s="1"/>
  <c r="N10" i="76"/>
  <c r="N18" i="76" s="1"/>
  <c r="K10" i="76"/>
  <c r="K18" i="76" s="1"/>
  <c r="J10" i="76"/>
  <c r="J18" i="76" s="1"/>
  <c r="G10" i="76"/>
  <c r="G18" i="76" s="1"/>
  <c r="G19" i="76" s="1"/>
  <c r="F10" i="76"/>
  <c r="F18" i="76" s="1"/>
  <c r="F19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121" i="75"/>
  <c r="M116" i="75"/>
  <c r="L116" i="75"/>
  <c r="K116" i="75"/>
  <c r="J116" i="75"/>
  <c r="I116" i="75"/>
  <c r="H116" i="75"/>
  <c r="G116" i="75"/>
  <c r="F116" i="75"/>
  <c r="E116" i="75"/>
  <c r="D116" i="75"/>
  <c r="Q114" i="75"/>
  <c r="B114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B113" i="75"/>
  <c r="Q112" i="75"/>
  <c r="B112" i="75"/>
  <c r="Q111" i="75"/>
  <c r="B111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B110" i="75"/>
  <c r="Q109" i="75"/>
  <c r="B109" i="75"/>
  <c r="O108" i="75"/>
  <c r="N108" i="75"/>
  <c r="M108" i="75"/>
  <c r="L108" i="75"/>
  <c r="K108" i="75"/>
  <c r="J108" i="75"/>
  <c r="I108" i="75"/>
  <c r="H108" i="75"/>
  <c r="G108" i="75"/>
  <c r="G45" i="75" s="1"/>
  <c r="F108" i="75"/>
  <c r="E108" i="75"/>
  <c r="D108" i="75"/>
  <c r="B108" i="75"/>
  <c r="Q107" i="75"/>
  <c r="B107" i="75"/>
  <c r="Q106" i="75"/>
  <c r="B106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Q105" i="75" s="1"/>
  <c r="B105" i="75"/>
  <c r="Q104" i="75"/>
  <c r="B104" i="75"/>
  <c r="Q103" i="75"/>
  <c r="B103" i="75"/>
  <c r="Q102" i="75"/>
  <c r="B102" i="75"/>
  <c r="Q101" i="75"/>
  <c r="B101" i="75"/>
  <c r="Q100" i="75"/>
  <c r="B100" i="75"/>
  <c r="Q99" i="75"/>
  <c r="B99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Q98" i="75" s="1"/>
  <c r="B98" i="75"/>
  <c r="Q97" i="75"/>
  <c r="B97" i="75"/>
  <c r="Q96" i="75"/>
  <c r="B96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B95" i="75"/>
  <c r="Q94" i="75"/>
  <c r="B94" i="75"/>
  <c r="Q93" i="75"/>
  <c r="B93" i="75"/>
  <c r="Q92" i="75"/>
  <c r="B92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Q91" i="75" s="1"/>
  <c r="B91" i="75"/>
  <c r="Q90" i="75"/>
  <c r="B90" i="75"/>
  <c r="Q89" i="75"/>
  <c r="B89" i="75"/>
  <c r="Q88" i="75"/>
  <c r="B88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B87" i="75"/>
  <c r="Q86" i="75"/>
  <c r="B86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Q85" i="75" s="1"/>
  <c r="B85" i="75"/>
  <c r="Q84" i="75"/>
  <c r="B84" i="75"/>
  <c r="O83" i="75"/>
  <c r="N83" i="75"/>
  <c r="M83" i="75"/>
  <c r="L83" i="75"/>
  <c r="K83" i="75"/>
  <c r="J83" i="75"/>
  <c r="I83" i="75"/>
  <c r="H83" i="75"/>
  <c r="H45" i="75" s="1"/>
  <c r="G83" i="75"/>
  <c r="F83" i="75"/>
  <c r="E83" i="75"/>
  <c r="D83" i="75"/>
  <c r="B83" i="75"/>
  <c r="Q82" i="75"/>
  <c r="B82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Q81" i="75" s="1"/>
  <c r="B81" i="75"/>
  <c r="Q80" i="75"/>
  <c r="B80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Q79" i="75" s="1"/>
  <c r="B79" i="75"/>
  <c r="Q78" i="75"/>
  <c r="B78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B77" i="75"/>
  <c r="Q76" i="75"/>
  <c r="B76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Q75" i="75" s="1"/>
  <c r="B75" i="75"/>
  <c r="Q74" i="75"/>
  <c r="B74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Q73" i="75" s="1"/>
  <c r="B73" i="75"/>
  <c r="Q72" i="75"/>
  <c r="B72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Q71" i="75" s="1"/>
  <c r="B71" i="75"/>
  <c r="Q70" i="75"/>
  <c r="B70" i="75"/>
  <c r="O69" i="75"/>
  <c r="N69" i="75"/>
  <c r="M69" i="75"/>
  <c r="L69" i="75"/>
  <c r="L45" i="75" s="1"/>
  <c r="K69" i="75"/>
  <c r="J69" i="75"/>
  <c r="I69" i="75"/>
  <c r="H69" i="75"/>
  <c r="G69" i="75"/>
  <c r="F69" i="75"/>
  <c r="E69" i="75"/>
  <c r="D69" i="75"/>
  <c r="B69" i="75"/>
  <c r="Q68" i="75"/>
  <c r="B68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B67" i="75"/>
  <c r="Q66" i="75"/>
  <c r="B66" i="75"/>
  <c r="Q65" i="75"/>
  <c r="B65" i="75"/>
  <c r="Q64" i="75"/>
  <c r="B64" i="75"/>
  <c r="Q63" i="75"/>
  <c r="B63" i="75"/>
  <c r="Q62" i="75"/>
  <c r="B62" i="75"/>
  <c r="Q61" i="75"/>
  <c r="B61" i="75"/>
  <c r="Q60" i="75"/>
  <c r="B60" i="75"/>
  <c r="Q59" i="75"/>
  <c r="B59" i="75"/>
  <c r="Q58" i="75"/>
  <c r="B58" i="75"/>
  <c r="Q57" i="75"/>
  <c r="B57" i="75"/>
  <c r="O56" i="75"/>
  <c r="O45" i="75" s="1"/>
  <c r="N56" i="75"/>
  <c r="M56" i="75"/>
  <c r="L56" i="75"/>
  <c r="K56" i="75"/>
  <c r="J56" i="75"/>
  <c r="I56" i="75"/>
  <c r="H56" i="75"/>
  <c r="G56" i="75"/>
  <c r="F56" i="75"/>
  <c r="E56" i="75"/>
  <c r="D56" i="75"/>
  <c r="B56" i="75"/>
  <c r="Q55" i="75"/>
  <c r="B55" i="75"/>
  <c r="Q54" i="75"/>
  <c r="B54" i="75"/>
  <c r="Q53" i="75"/>
  <c r="B53" i="75"/>
  <c r="Q52" i="75"/>
  <c r="B52" i="75"/>
  <c r="Q51" i="75"/>
  <c r="B51" i="75"/>
  <c r="Q50" i="75"/>
  <c r="B50" i="75"/>
  <c r="Q49" i="75"/>
  <c r="B49" i="75"/>
  <c r="Q48" i="75"/>
  <c r="B48" i="75"/>
  <c r="Q47" i="75"/>
  <c r="B47" i="75"/>
  <c r="O46" i="75"/>
  <c r="N46" i="75"/>
  <c r="N45" i="75" s="1"/>
  <c r="M46" i="75"/>
  <c r="L46" i="75"/>
  <c r="K46" i="75"/>
  <c r="K45" i="75" s="1"/>
  <c r="J46" i="75"/>
  <c r="J45" i="75" s="1"/>
  <c r="I46" i="75"/>
  <c r="H46" i="75"/>
  <c r="G46" i="75"/>
  <c r="F46" i="75"/>
  <c r="E46" i="75"/>
  <c r="D46" i="75"/>
  <c r="B46" i="75"/>
  <c r="M45" i="75"/>
  <c r="I43" i="75"/>
  <c r="O42" i="75"/>
  <c r="Q40" i="75"/>
  <c r="B40" i="75"/>
  <c r="Q39" i="75"/>
  <c r="B39" i="75"/>
  <c r="Q38" i="75"/>
  <c r="B38" i="75"/>
  <c r="Q37" i="75"/>
  <c r="B37" i="75"/>
  <c r="Q36" i="75"/>
  <c r="B36" i="75"/>
  <c r="Q35" i="75"/>
  <c r="B35" i="75"/>
  <c r="Q34" i="75"/>
  <c r="Q33" i="75" s="1"/>
  <c r="B34" i="75"/>
  <c r="O33" i="75"/>
  <c r="N33" i="75"/>
  <c r="M33" i="75"/>
  <c r="L33" i="75"/>
  <c r="K33" i="75"/>
  <c r="J33" i="75"/>
  <c r="I33" i="75"/>
  <c r="I42" i="75" s="1"/>
  <c r="H33" i="75"/>
  <c r="G33" i="75"/>
  <c r="F33" i="75"/>
  <c r="E33" i="75"/>
  <c r="D33" i="75"/>
  <c r="M31" i="75"/>
  <c r="L31" i="75"/>
  <c r="K31" i="75"/>
  <c r="J31" i="75"/>
  <c r="I31" i="75"/>
  <c r="H31" i="75"/>
  <c r="G31" i="75"/>
  <c r="F31" i="75"/>
  <c r="E31" i="75"/>
  <c r="D31" i="75"/>
  <c r="B31" i="75"/>
  <c r="M30" i="75"/>
  <c r="L30" i="75"/>
  <c r="K30" i="75"/>
  <c r="J30" i="75"/>
  <c r="I30" i="75"/>
  <c r="H30" i="75"/>
  <c r="G30" i="75"/>
  <c r="F30" i="75"/>
  <c r="E30" i="75"/>
  <c r="D30" i="75"/>
  <c r="B30" i="75"/>
  <c r="M29" i="75"/>
  <c r="L29" i="75"/>
  <c r="K29" i="75"/>
  <c r="J29" i="75"/>
  <c r="I29" i="75"/>
  <c r="H29" i="75"/>
  <c r="G29" i="75"/>
  <c r="F29" i="75"/>
  <c r="E29" i="75"/>
  <c r="D29" i="75"/>
  <c r="B29" i="75"/>
  <c r="M28" i="75"/>
  <c r="L28" i="75"/>
  <c r="K28" i="75"/>
  <c r="J28" i="75"/>
  <c r="I28" i="75"/>
  <c r="H28" i="75"/>
  <c r="G28" i="75"/>
  <c r="F28" i="75"/>
  <c r="E28" i="75"/>
  <c r="D28" i="75"/>
  <c r="B28" i="75"/>
  <c r="M27" i="75"/>
  <c r="L27" i="75"/>
  <c r="K27" i="75"/>
  <c r="J27" i="75"/>
  <c r="I27" i="75"/>
  <c r="H27" i="75"/>
  <c r="G27" i="75"/>
  <c r="F27" i="75"/>
  <c r="E27" i="75"/>
  <c r="D27" i="75"/>
  <c r="Q27" i="75" s="1"/>
  <c r="B27" i="75"/>
  <c r="M26" i="75"/>
  <c r="L26" i="75"/>
  <c r="K26" i="75"/>
  <c r="J26" i="75"/>
  <c r="I26" i="75"/>
  <c r="H26" i="75"/>
  <c r="G26" i="75"/>
  <c r="F26" i="75"/>
  <c r="E26" i="75"/>
  <c r="D26" i="75"/>
  <c r="B26" i="75"/>
  <c r="M25" i="75"/>
  <c r="L25" i="75"/>
  <c r="K25" i="75"/>
  <c r="J25" i="75"/>
  <c r="I25" i="75"/>
  <c r="H25" i="75"/>
  <c r="G25" i="75"/>
  <c r="F25" i="75"/>
  <c r="E25" i="75"/>
  <c r="D25" i="75"/>
  <c r="B25" i="75"/>
  <c r="M24" i="75"/>
  <c r="L24" i="75"/>
  <c r="K24" i="75"/>
  <c r="J24" i="75"/>
  <c r="I24" i="75"/>
  <c r="H24" i="75"/>
  <c r="G24" i="75"/>
  <c r="F24" i="75"/>
  <c r="E24" i="75"/>
  <c r="D24" i="75"/>
  <c r="B24" i="75"/>
  <c r="M23" i="75"/>
  <c r="L23" i="75"/>
  <c r="K23" i="75"/>
  <c r="J23" i="75"/>
  <c r="I23" i="75"/>
  <c r="H23" i="75"/>
  <c r="G23" i="75"/>
  <c r="F23" i="75"/>
  <c r="E23" i="75"/>
  <c r="D23" i="75"/>
  <c r="B23" i="75"/>
  <c r="M22" i="75"/>
  <c r="L22" i="75"/>
  <c r="K22" i="75"/>
  <c r="J22" i="75"/>
  <c r="I22" i="75"/>
  <c r="H22" i="75"/>
  <c r="G22" i="75"/>
  <c r="F22" i="75"/>
  <c r="E22" i="75"/>
  <c r="D22" i="75"/>
  <c r="B22" i="75"/>
  <c r="M21" i="75"/>
  <c r="L21" i="75"/>
  <c r="K21" i="75"/>
  <c r="J21" i="75"/>
  <c r="I21" i="75"/>
  <c r="H21" i="75"/>
  <c r="G21" i="75"/>
  <c r="F21" i="75"/>
  <c r="E21" i="75"/>
  <c r="D21" i="75"/>
  <c r="B21" i="75"/>
  <c r="M20" i="75"/>
  <c r="L20" i="75"/>
  <c r="K20" i="75"/>
  <c r="J20" i="75"/>
  <c r="I20" i="75"/>
  <c r="H20" i="75"/>
  <c r="G20" i="75"/>
  <c r="F20" i="75"/>
  <c r="E20" i="75"/>
  <c r="D20" i="75"/>
  <c r="Q20" i="75" s="1"/>
  <c r="B20" i="75"/>
  <c r="M19" i="75"/>
  <c r="L19" i="75"/>
  <c r="K19" i="75"/>
  <c r="J19" i="75"/>
  <c r="I19" i="75"/>
  <c r="H19" i="75"/>
  <c r="G19" i="75"/>
  <c r="F19" i="75"/>
  <c r="E19" i="75"/>
  <c r="D19" i="75"/>
  <c r="B19" i="75"/>
  <c r="M18" i="75"/>
  <c r="L18" i="75"/>
  <c r="K18" i="75"/>
  <c r="J18" i="75"/>
  <c r="I18" i="75"/>
  <c r="H18" i="75"/>
  <c r="G18" i="75"/>
  <c r="F18" i="75"/>
  <c r="E18" i="75"/>
  <c r="D18" i="75"/>
  <c r="B18" i="75"/>
  <c r="M17" i="75"/>
  <c r="L17" i="75"/>
  <c r="K17" i="75"/>
  <c r="J17" i="75"/>
  <c r="I17" i="75"/>
  <c r="H17" i="75"/>
  <c r="G17" i="75"/>
  <c r="F17" i="75"/>
  <c r="E17" i="75"/>
  <c r="D17" i="75"/>
  <c r="B17" i="75"/>
  <c r="M16" i="75"/>
  <c r="L16" i="75"/>
  <c r="K16" i="75"/>
  <c r="J16" i="75"/>
  <c r="I16" i="75"/>
  <c r="H16" i="75"/>
  <c r="G16" i="75"/>
  <c r="F16" i="75"/>
  <c r="E16" i="75"/>
  <c r="D16" i="75"/>
  <c r="B16" i="75"/>
  <c r="M15" i="75"/>
  <c r="L15" i="75"/>
  <c r="K15" i="75"/>
  <c r="J15" i="75"/>
  <c r="I15" i="75"/>
  <c r="H15" i="75"/>
  <c r="G15" i="75"/>
  <c r="F15" i="75"/>
  <c r="E15" i="75"/>
  <c r="D15" i="75"/>
  <c r="B15" i="75"/>
  <c r="M14" i="75"/>
  <c r="L14" i="75"/>
  <c r="K14" i="75"/>
  <c r="J14" i="75"/>
  <c r="J10" i="75" s="1"/>
  <c r="J42" i="75" s="1"/>
  <c r="I14" i="75"/>
  <c r="H14" i="75"/>
  <c r="G14" i="75"/>
  <c r="F14" i="75"/>
  <c r="E14" i="75"/>
  <c r="D14" i="75"/>
  <c r="B14" i="75"/>
  <c r="M13" i="75"/>
  <c r="L13" i="75"/>
  <c r="K13" i="75"/>
  <c r="J13" i="75"/>
  <c r="I13" i="75"/>
  <c r="H13" i="75"/>
  <c r="G13" i="75"/>
  <c r="F13" i="75"/>
  <c r="E13" i="75"/>
  <c r="D13" i="75"/>
  <c r="B13" i="75"/>
  <c r="M12" i="75"/>
  <c r="L12" i="75"/>
  <c r="K12" i="75"/>
  <c r="J12" i="75"/>
  <c r="I12" i="75"/>
  <c r="H12" i="75"/>
  <c r="G12" i="75"/>
  <c r="F12" i="75"/>
  <c r="E12" i="75"/>
  <c r="D12" i="75"/>
  <c r="B12" i="75"/>
  <c r="M11" i="75"/>
  <c r="L11" i="75"/>
  <c r="K11" i="75"/>
  <c r="J11" i="75"/>
  <c r="I11" i="75"/>
  <c r="H11" i="75"/>
  <c r="G11" i="75"/>
  <c r="F11" i="75"/>
  <c r="E11" i="75"/>
  <c r="D11" i="75"/>
  <c r="B11" i="75"/>
  <c r="O10" i="75"/>
  <c r="N10" i="75"/>
  <c r="N42" i="75" s="1"/>
  <c r="M10" i="75"/>
  <c r="M42" i="75" s="1"/>
  <c r="I10" i="75"/>
  <c r="G10" i="75"/>
  <c r="G42" i="75" s="1"/>
  <c r="G43" i="75" s="1"/>
  <c r="F10" i="75"/>
  <c r="F42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80" i="74"/>
  <c r="M75" i="74"/>
  <c r="L75" i="74"/>
  <c r="K75" i="74"/>
  <c r="J75" i="74"/>
  <c r="I75" i="74"/>
  <c r="H75" i="74"/>
  <c r="G75" i="74"/>
  <c r="Q75" i="74" s="1"/>
  <c r="F75" i="74"/>
  <c r="E75" i="74"/>
  <c r="D75" i="74"/>
  <c r="Q73" i="74"/>
  <c r="B73" i="74"/>
  <c r="O72" i="74"/>
  <c r="N72" i="74"/>
  <c r="M72" i="74"/>
  <c r="L72" i="74"/>
  <c r="K72" i="74"/>
  <c r="J72" i="74"/>
  <c r="I72" i="74"/>
  <c r="H72" i="74"/>
  <c r="G72" i="74"/>
  <c r="F72" i="74"/>
  <c r="E72" i="74"/>
  <c r="D72" i="74"/>
  <c r="B72" i="74"/>
  <c r="Q71" i="74"/>
  <c r="B71" i="74"/>
  <c r="Q70" i="74"/>
  <c r="B70" i="74"/>
  <c r="O69" i="74"/>
  <c r="N69" i="74"/>
  <c r="M69" i="74"/>
  <c r="L69" i="74"/>
  <c r="K69" i="74"/>
  <c r="J69" i="74"/>
  <c r="I69" i="74"/>
  <c r="H69" i="74"/>
  <c r="G69" i="74"/>
  <c r="F69" i="74"/>
  <c r="E69" i="74"/>
  <c r="D69" i="74"/>
  <c r="Q69" i="74" s="1"/>
  <c r="B69" i="74"/>
  <c r="Q68" i="74"/>
  <c r="B68" i="74"/>
  <c r="Q67" i="74"/>
  <c r="B67" i="74"/>
  <c r="Q66" i="74"/>
  <c r="B66" i="74"/>
  <c r="Q65" i="74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Q63" i="74" s="1"/>
  <c r="B63" i="74"/>
  <c r="Q62" i="74"/>
  <c r="B62" i="74"/>
  <c r="Q61" i="74"/>
  <c r="B61" i="74"/>
  <c r="O60" i="74"/>
  <c r="N60" i="74"/>
  <c r="M60" i="74"/>
  <c r="L60" i="74"/>
  <c r="K60" i="74"/>
  <c r="J60" i="74"/>
  <c r="I60" i="74"/>
  <c r="H60" i="74"/>
  <c r="G60" i="74"/>
  <c r="F60" i="74"/>
  <c r="E60" i="74"/>
  <c r="D60" i="74"/>
  <c r="B60" i="74"/>
  <c r="Q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Q57" i="74" s="1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Q51" i="74" s="1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F19" i="74" s="1"/>
  <c r="E49" i="74"/>
  <c r="D49" i="74"/>
  <c r="B49" i="74"/>
  <c r="Q48" i="74"/>
  <c r="B48" i="74"/>
  <c r="Q47" i="74"/>
  <c r="B47" i="74"/>
  <c r="O46" i="74"/>
  <c r="N46" i="74"/>
  <c r="M46" i="74"/>
  <c r="L46" i="74"/>
  <c r="K46" i="74"/>
  <c r="J46" i="74"/>
  <c r="I46" i="74"/>
  <c r="H46" i="74"/>
  <c r="G46" i="74"/>
  <c r="F46" i="74"/>
  <c r="E46" i="74"/>
  <c r="D46" i="74"/>
  <c r="B46" i="74"/>
  <c r="Q45" i="74"/>
  <c r="B45" i="74"/>
  <c r="O44" i="74"/>
  <c r="N44" i="74"/>
  <c r="M44" i="74"/>
  <c r="L44" i="74"/>
  <c r="K44" i="74"/>
  <c r="J44" i="74"/>
  <c r="I44" i="74"/>
  <c r="H44" i="74"/>
  <c r="G44" i="74"/>
  <c r="F44" i="74"/>
  <c r="E44" i="74"/>
  <c r="D44" i="74"/>
  <c r="Q44" i="74" s="1"/>
  <c r="B44" i="74"/>
  <c r="Q43" i="74"/>
  <c r="B43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B42" i="74"/>
  <c r="Q41" i="74"/>
  <c r="B41" i="74"/>
  <c r="O40" i="74"/>
  <c r="N40" i="74"/>
  <c r="M40" i="74"/>
  <c r="M19" i="74" s="1"/>
  <c r="L40" i="74"/>
  <c r="K40" i="74"/>
  <c r="J40" i="74"/>
  <c r="I40" i="74"/>
  <c r="I19" i="74" s="1"/>
  <c r="H40" i="74"/>
  <c r="G40" i="74"/>
  <c r="F40" i="74"/>
  <c r="E40" i="74"/>
  <c r="D40" i="74"/>
  <c r="Q40" i="74" s="1"/>
  <c r="B40" i="74"/>
  <c r="Q39" i="74"/>
  <c r="B39" i="74"/>
  <c r="Q38" i="74"/>
  <c r="B38" i="74"/>
  <c r="Q37" i="74"/>
  <c r="B37" i="74"/>
  <c r="Q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B29" i="74"/>
  <c r="Q28" i="74"/>
  <c r="B28" i="74"/>
  <c r="Q27" i="74"/>
  <c r="B27" i="74"/>
  <c r="Q26" i="74"/>
  <c r="B26" i="74"/>
  <c r="Q25" i="74"/>
  <c r="B25" i="74"/>
  <c r="Q24" i="74"/>
  <c r="B24" i="74"/>
  <c r="Q23" i="74"/>
  <c r="B23" i="74"/>
  <c r="Q22" i="74"/>
  <c r="B22" i="74"/>
  <c r="Q21" i="74"/>
  <c r="B21" i="74"/>
  <c r="O20" i="74"/>
  <c r="N20" i="74"/>
  <c r="M20" i="74"/>
  <c r="L20" i="74"/>
  <c r="K20" i="74"/>
  <c r="J20" i="74"/>
  <c r="J19" i="74" s="1"/>
  <c r="I20" i="74"/>
  <c r="H20" i="74"/>
  <c r="G20" i="74"/>
  <c r="F20" i="74"/>
  <c r="E20" i="74"/>
  <c r="D20" i="74"/>
  <c r="B20" i="74"/>
  <c r="O19" i="74"/>
  <c r="N19" i="74"/>
  <c r="G19" i="74"/>
  <c r="G17" i="74"/>
  <c r="I16" i="74"/>
  <c r="H16" i="74"/>
  <c r="E16" i="74"/>
  <c r="D16" i="74"/>
  <c r="Q14" i="74"/>
  <c r="Q12" i="74" s="1"/>
  <c r="Q16" i="74" s="1"/>
  <c r="B14" i="74"/>
  <c r="Q13" i="74"/>
  <c r="B13" i="74"/>
  <c r="O12" i="74"/>
  <c r="N12" i="74"/>
  <c r="M12" i="74"/>
  <c r="M16" i="74" s="1"/>
  <c r="M17" i="74" s="1"/>
  <c r="L12" i="74"/>
  <c r="K12" i="74"/>
  <c r="J12" i="74"/>
  <c r="I12" i="74"/>
  <c r="H12" i="74"/>
  <c r="G12" i="74"/>
  <c r="F12" i="74"/>
  <c r="E12" i="74"/>
  <c r="D12" i="74"/>
  <c r="Q10" i="74"/>
  <c r="O10" i="74"/>
  <c r="O16" i="74" s="1"/>
  <c r="N10" i="74"/>
  <c r="M10" i="74"/>
  <c r="L10" i="74"/>
  <c r="L16" i="74" s="1"/>
  <c r="K10" i="74"/>
  <c r="K16" i="74" s="1"/>
  <c r="K17" i="74" s="1"/>
  <c r="J10" i="74"/>
  <c r="J16" i="74" s="1"/>
  <c r="I10" i="74"/>
  <c r="H10" i="74"/>
  <c r="G10" i="74"/>
  <c r="G16" i="74" s="1"/>
  <c r="F10" i="74"/>
  <c r="F16" i="74" s="1"/>
  <c r="E10" i="74"/>
  <c r="D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1" i="73"/>
  <c r="M46" i="73"/>
  <c r="L46" i="73"/>
  <c r="K46" i="73"/>
  <c r="J46" i="73"/>
  <c r="I46" i="73"/>
  <c r="H46" i="73"/>
  <c r="G46" i="73"/>
  <c r="F46" i="73"/>
  <c r="E46" i="73"/>
  <c r="D46" i="73"/>
  <c r="Q46" i="73" s="1"/>
  <c r="Q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O34" i="73"/>
  <c r="N34" i="73"/>
  <c r="M34" i="73"/>
  <c r="L34" i="73"/>
  <c r="K34" i="73"/>
  <c r="J34" i="73"/>
  <c r="I34" i="73"/>
  <c r="H34" i="73"/>
  <c r="G34" i="73"/>
  <c r="F34" i="73"/>
  <c r="E34" i="73"/>
  <c r="D34" i="73"/>
  <c r="B34" i="73"/>
  <c r="Q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O25" i="73"/>
  <c r="N25" i="73"/>
  <c r="M25" i="73"/>
  <c r="M24" i="73" s="1"/>
  <c r="L25" i="73"/>
  <c r="L24" i="73" s="1"/>
  <c r="K25" i="73"/>
  <c r="J25" i="73"/>
  <c r="I25" i="73"/>
  <c r="H25" i="73"/>
  <c r="H24" i="73" s="1"/>
  <c r="G25" i="73"/>
  <c r="G24" i="73" s="1"/>
  <c r="F25" i="73"/>
  <c r="F24" i="73" s="1"/>
  <c r="E25" i="73"/>
  <c r="D25" i="73"/>
  <c r="B25" i="73"/>
  <c r="O24" i="73"/>
  <c r="N24" i="73"/>
  <c r="K24" i="73"/>
  <c r="J24" i="73"/>
  <c r="I24" i="73"/>
  <c r="E24" i="73"/>
  <c r="O22" i="73"/>
  <c r="N21" i="73"/>
  <c r="Q19" i="73"/>
  <c r="B19" i="73"/>
  <c r="Q18" i="73"/>
  <c r="B18" i="73"/>
  <c r="Q17" i="73"/>
  <c r="Q16" i="73" s="1"/>
  <c r="B17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M14" i="73"/>
  <c r="L14" i="73"/>
  <c r="K14" i="73"/>
  <c r="J14" i="73"/>
  <c r="I14" i="73"/>
  <c r="H14" i="73"/>
  <c r="G14" i="73"/>
  <c r="F14" i="73"/>
  <c r="E14" i="73"/>
  <c r="D14" i="73"/>
  <c r="B14" i="73"/>
  <c r="M13" i="73"/>
  <c r="L13" i="73"/>
  <c r="K13" i="73"/>
  <c r="J13" i="73"/>
  <c r="I13" i="73"/>
  <c r="H13" i="73"/>
  <c r="G13" i="73"/>
  <c r="F13" i="73"/>
  <c r="E13" i="73"/>
  <c r="D13" i="73"/>
  <c r="B13" i="73"/>
  <c r="M12" i="73"/>
  <c r="L12" i="73"/>
  <c r="K12" i="73"/>
  <c r="J12" i="73"/>
  <c r="I12" i="73"/>
  <c r="H12" i="73"/>
  <c r="G12" i="73"/>
  <c r="F12" i="73"/>
  <c r="E12" i="73"/>
  <c r="D12" i="73"/>
  <c r="B12" i="73"/>
  <c r="M11" i="73"/>
  <c r="L11" i="73"/>
  <c r="K11" i="73"/>
  <c r="K10" i="73" s="1"/>
  <c r="K21" i="73" s="1"/>
  <c r="J11" i="73"/>
  <c r="J10" i="73" s="1"/>
  <c r="J21" i="73" s="1"/>
  <c r="I11" i="73"/>
  <c r="H11" i="73"/>
  <c r="G11" i="73"/>
  <c r="F11" i="73"/>
  <c r="F10" i="73" s="1"/>
  <c r="F21" i="73" s="1"/>
  <c r="E11" i="73"/>
  <c r="E10" i="73" s="1"/>
  <c r="E21" i="73" s="1"/>
  <c r="D11" i="73"/>
  <c r="B11" i="73"/>
  <c r="O10" i="73"/>
  <c r="O21" i="73" s="1"/>
  <c r="N10" i="73"/>
  <c r="M10" i="73"/>
  <c r="M21" i="73" s="1"/>
  <c r="L10" i="73"/>
  <c r="L21" i="73" s="1"/>
  <c r="I10" i="73"/>
  <c r="I21" i="73" s="1"/>
  <c r="H10" i="73"/>
  <c r="H21" i="73" s="1"/>
  <c r="G10" i="73"/>
  <c r="G21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69" i="72"/>
  <c r="M64" i="72"/>
  <c r="L64" i="72"/>
  <c r="K64" i="72"/>
  <c r="J64" i="72"/>
  <c r="I64" i="72"/>
  <c r="H64" i="72"/>
  <c r="G64" i="72"/>
  <c r="F64" i="72"/>
  <c r="E64" i="72"/>
  <c r="D64" i="72"/>
  <c r="Q62" i="72"/>
  <c r="B62" i="72"/>
  <c r="O61" i="72"/>
  <c r="N61" i="72"/>
  <c r="M61" i="72"/>
  <c r="L61" i="72"/>
  <c r="K61" i="72"/>
  <c r="J61" i="72"/>
  <c r="I61" i="72"/>
  <c r="H61" i="72"/>
  <c r="G61" i="72"/>
  <c r="F61" i="72"/>
  <c r="E61" i="72"/>
  <c r="D61" i="72"/>
  <c r="B61" i="72"/>
  <c r="Q60" i="72"/>
  <c r="B60" i="72"/>
  <c r="O59" i="72"/>
  <c r="N59" i="72"/>
  <c r="M59" i="72"/>
  <c r="L59" i="72"/>
  <c r="K59" i="72"/>
  <c r="J59" i="72"/>
  <c r="I59" i="72"/>
  <c r="H59" i="72"/>
  <c r="G59" i="72"/>
  <c r="F59" i="72"/>
  <c r="E59" i="72"/>
  <c r="D59" i="72"/>
  <c r="B59" i="72"/>
  <c r="Q58" i="72"/>
  <c r="B58" i="72"/>
  <c r="Q57" i="72"/>
  <c r="B57" i="72"/>
  <c r="Q56" i="72"/>
  <c r="B56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Q55" i="72" s="1"/>
  <c r="B55" i="72"/>
  <c r="Q54" i="72"/>
  <c r="B54" i="72"/>
  <c r="Q53" i="72"/>
  <c r="B53" i="72"/>
  <c r="O52" i="72"/>
  <c r="N52" i="72"/>
  <c r="M52" i="72"/>
  <c r="L52" i="72"/>
  <c r="K52" i="72"/>
  <c r="J52" i="72"/>
  <c r="I52" i="72"/>
  <c r="H52" i="72"/>
  <c r="G52" i="72"/>
  <c r="F52" i="72"/>
  <c r="E52" i="72"/>
  <c r="E20" i="72" s="1"/>
  <c r="D52" i="72"/>
  <c r="D20" i="72" s="1"/>
  <c r="B52" i="72"/>
  <c r="Q51" i="72"/>
  <c r="B51" i="72"/>
  <c r="Q50" i="72"/>
  <c r="B50" i="72"/>
  <c r="O49" i="72"/>
  <c r="N49" i="72"/>
  <c r="M49" i="72"/>
  <c r="L49" i="72"/>
  <c r="K49" i="72"/>
  <c r="J49" i="72"/>
  <c r="I49" i="72"/>
  <c r="H49" i="72"/>
  <c r="G49" i="72"/>
  <c r="F49" i="72"/>
  <c r="E49" i="72"/>
  <c r="D49" i="72"/>
  <c r="B49" i="72"/>
  <c r="Q48" i="72"/>
  <c r="B48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Q47" i="72" s="1"/>
  <c r="B47" i="72"/>
  <c r="Q46" i="72"/>
  <c r="B46" i="72"/>
  <c r="O45" i="72"/>
  <c r="N45" i="72"/>
  <c r="M45" i="72"/>
  <c r="L45" i="72"/>
  <c r="K45" i="72"/>
  <c r="J45" i="72"/>
  <c r="I45" i="72"/>
  <c r="H45" i="72"/>
  <c r="G45" i="72"/>
  <c r="F45" i="72"/>
  <c r="E45" i="72"/>
  <c r="D45" i="72"/>
  <c r="B45" i="72"/>
  <c r="Q44" i="72"/>
  <c r="B44" i="72"/>
  <c r="O43" i="72"/>
  <c r="N43" i="72"/>
  <c r="M43" i="72"/>
  <c r="L43" i="72"/>
  <c r="K43" i="72"/>
  <c r="J43" i="72"/>
  <c r="I43" i="72"/>
  <c r="H43" i="72"/>
  <c r="G43" i="72"/>
  <c r="F43" i="72"/>
  <c r="E43" i="72"/>
  <c r="D43" i="72"/>
  <c r="Q43" i="72" s="1"/>
  <c r="B43" i="72"/>
  <c r="Q42" i="72"/>
  <c r="B42" i="72"/>
  <c r="O41" i="72"/>
  <c r="O20" i="72" s="1"/>
  <c r="N41" i="72"/>
  <c r="M41" i="72"/>
  <c r="L41" i="72"/>
  <c r="K41" i="72"/>
  <c r="J41" i="72"/>
  <c r="I41" i="72"/>
  <c r="H41" i="72"/>
  <c r="G41" i="72"/>
  <c r="F41" i="72"/>
  <c r="E41" i="72"/>
  <c r="D41" i="72"/>
  <c r="B41" i="72"/>
  <c r="Q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O30" i="72"/>
  <c r="N30" i="72"/>
  <c r="M30" i="72"/>
  <c r="L30" i="72"/>
  <c r="L20" i="72" s="1"/>
  <c r="K30" i="72"/>
  <c r="J30" i="72"/>
  <c r="I30" i="72"/>
  <c r="H30" i="72"/>
  <c r="G30" i="72"/>
  <c r="F30" i="72"/>
  <c r="E30" i="72"/>
  <c r="D30" i="72"/>
  <c r="Q30" i="72" s="1"/>
  <c r="B30" i="72"/>
  <c r="Q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O21" i="72"/>
  <c r="N21" i="72"/>
  <c r="M21" i="72"/>
  <c r="M20" i="72" s="1"/>
  <c r="L21" i="72"/>
  <c r="K21" i="72"/>
  <c r="J21" i="72"/>
  <c r="J20" i="72" s="1"/>
  <c r="I21" i="72"/>
  <c r="H21" i="72"/>
  <c r="G21" i="72"/>
  <c r="F21" i="72"/>
  <c r="F20" i="72" s="1"/>
  <c r="E21" i="72"/>
  <c r="D21" i="72"/>
  <c r="Q21" i="72" s="1"/>
  <c r="B21" i="72"/>
  <c r="I20" i="72"/>
  <c r="H20" i="72"/>
  <c r="N17" i="72"/>
  <c r="K17" i="72"/>
  <c r="Q15" i="72"/>
  <c r="B15" i="72"/>
  <c r="Q14" i="72"/>
  <c r="B14" i="72"/>
  <c r="Q13" i="72"/>
  <c r="O13" i="72"/>
  <c r="N13" i="72"/>
  <c r="M13" i="72"/>
  <c r="L13" i="72"/>
  <c r="K13" i="72"/>
  <c r="J13" i="72"/>
  <c r="I13" i="72"/>
  <c r="H13" i="72"/>
  <c r="G13" i="72"/>
  <c r="G17" i="72" s="1"/>
  <c r="F13" i="72"/>
  <c r="E13" i="72"/>
  <c r="D13" i="72"/>
  <c r="Q11" i="72"/>
  <c r="M11" i="72"/>
  <c r="L11" i="72"/>
  <c r="K11" i="72"/>
  <c r="J11" i="72"/>
  <c r="J10" i="72" s="1"/>
  <c r="J17" i="72" s="1"/>
  <c r="I11" i="72"/>
  <c r="I10" i="72" s="1"/>
  <c r="I17" i="72" s="1"/>
  <c r="H11" i="72"/>
  <c r="G11" i="72"/>
  <c r="F11" i="72"/>
  <c r="F10" i="72" s="1"/>
  <c r="F17" i="72" s="1"/>
  <c r="E11" i="72"/>
  <c r="D11" i="72"/>
  <c r="B11" i="72"/>
  <c r="Q10" i="72"/>
  <c r="O10" i="72"/>
  <c r="O17" i="72" s="1"/>
  <c r="N10" i="72"/>
  <c r="M10" i="72"/>
  <c r="M17" i="72" s="1"/>
  <c r="L10" i="72"/>
  <c r="L17" i="72" s="1"/>
  <c r="K10" i="72"/>
  <c r="H10" i="72"/>
  <c r="H17" i="72" s="1"/>
  <c r="H18" i="72" s="1"/>
  <c r="G10" i="72"/>
  <c r="E10" i="72"/>
  <c r="E17" i="72" s="1"/>
  <c r="D10" i="72"/>
  <c r="D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73" i="71"/>
  <c r="M68" i="71"/>
  <c r="L68" i="71"/>
  <c r="K68" i="71"/>
  <c r="J68" i="71"/>
  <c r="I68" i="71"/>
  <c r="H68" i="71"/>
  <c r="G68" i="71"/>
  <c r="F68" i="71"/>
  <c r="E68" i="71"/>
  <c r="Q68" i="71" s="1"/>
  <c r="D68" i="71"/>
  <c r="Q66" i="71"/>
  <c r="B66" i="71"/>
  <c r="O65" i="71"/>
  <c r="N65" i="71"/>
  <c r="M65" i="71"/>
  <c r="L65" i="71"/>
  <c r="K65" i="71"/>
  <c r="J65" i="71"/>
  <c r="I65" i="71"/>
  <c r="H65" i="71"/>
  <c r="G65" i="71"/>
  <c r="F65" i="71"/>
  <c r="E65" i="71"/>
  <c r="D65" i="71"/>
  <c r="Q65" i="71" s="1"/>
  <c r="B65" i="71"/>
  <c r="Q64" i="71"/>
  <c r="B64" i="71"/>
  <c r="Q63" i="71"/>
  <c r="B63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Q62" i="71" s="1"/>
  <c r="B62" i="71"/>
  <c r="Q61" i="71"/>
  <c r="B61" i="71"/>
  <c r="Q60" i="71"/>
  <c r="B60" i="71"/>
  <c r="O59" i="71"/>
  <c r="N59" i="71"/>
  <c r="M59" i="71"/>
  <c r="L59" i="71"/>
  <c r="K59" i="71"/>
  <c r="J59" i="71"/>
  <c r="I59" i="71"/>
  <c r="H59" i="71"/>
  <c r="G59" i="71"/>
  <c r="F59" i="71"/>
  <c r="E59" i="71"/>
  <c r="D59" i="71"/>
  <c r="B59" i="71"/>
  <c r="Q58" i="71"/>
  <c r="B58" i="71"/>
  <c r="Q57" i="71"/>
  <c r="B57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B56" i="71"/>
  <c r="Q55" i="71"/>
  <c r="B55" i="71"/>
  <c r="O54" i="71"/>
  <c r="N54" i="71"/>
  <c r="M54" i="71"/>
  <c r="M21" i="71" s="1"/>
  <c r="L54" i="71"/>
  <c r="K54" i="71"/>
  <c r="J54" i="71"/>
  <c r="I54" i="71"/>
  <c r="H54" i="71"/>
  <c r="G54" i="71"/>
  <c r="F54" i="71"/>
  <c r="E54" i="71"/>
  <c r="D54" i="71"/>
  <c r="Q54" i="71" s="1"/>
  <c r="B54" i="71"/>
  <c r="Q53" i="71"/>
  <c r="B53" i="71"/>
  <c r="Q52" i="71"/>
  <c r="B52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Q51" i="71" s="1"/>
  <c r="B51" i="71"/>
  <c r="Q50" i="71"/>
  <c r="B50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B49" i="71"/>
  <c r="Q48" i="71"/>
  <c r="B48" i="71"/>
  <c r="O47" i="71"/>
  <c r="N47" i="71"/>
  <c r="M47" i="71"/>
  <c r="L47" i="71"/>
  <c r="K47" i="71"/>
  <c r="J47" i="71"/>
  <c r="I47" i="71"/>
  <c r="H47" i="71"/>
  <c r="G47" i="71"/>
  <c r="F47" i="71"/>
  <c r="E47" i="71"/>
  <c r="D47" i="71"/>
  <c r="Q47" i="71" s="1"/>
  <c r="B47" i="71"/>
  <c r="Q46" i="71"/>
  <c r="B46" i="71"/>
  <c r="O45" i="71"/>
  <c r="N45" i="71"/>
  <c r="M45" i="71"/>
  <c r="L45" i="71"/>
  <c r="K45" i="71"/>
  <c r="J45" i="71"/>
  <c r="I45" i="71"/>
  <c r="H45" i="71"/>
  <c r="G45" i="71"/>
  <c r="F45" i="71"/>
  <c r="F21" i="71" s="1"/>
  <c r="E45" i="71"/>
  <c r="D45" i="71"/>
  <c r="B45" i="71"/>
  <c r="Q44" i="71"/>
  <c r="B44" i="71"/>
  <c r="O43" i="71"/>
  <c r="N43" i="71"/>
  <c r="M43" i="71"/>
  <c r="L43" i="71"/>
  <c r="K43" i="71"/>
  <c r="J43" i="71"/>
  <c r="J21" i="71" s="1"/>
  <c r="I43" i="71"/>
  <c r="H43" i="71"/>
  <c r="G43" i="71"/>
  <c r="F43" i="71"/>
  <c r="E43" i="71"/>
  <c r="D43" i="71"/>
  <c r="B43" i="71"/>
  <c r="Q42" i="71"/>
  <c r="B42" i="71"/>
  <c r="Q41" i="71"/>
  <c r="B41" i="71"/>
  <c r="Q40" i="71"/>
  <c r="B40" i="71"/>
  <c r="Q39" i="71"/>
  <c r="B39" i="71"/>
  <c r="Q38" i="71"/>
  <c r="B38" i="71"/>
  <c r="Q37" i="71"/>
  <c r="B37" i="71"/>
  <c r="Q36" i="71"/>
  <c r="B36" i="71"/>
  <c r="Q35" i="71"/>
  <c r="B35" i="71"/>
  <c r="Q34" i="71"/>
  <c r="B34" i="71"/>
  <c r="Q33" i="71"/>
  <c r="B33" i="71"/>
  <c r="O32" i="71"/>
  <c r="N32" i="71"/>
  <c r="M32" i="71"/>
  <c r="L32" i="71"/>
  <c r="K32" i="71"/>
  <c r="J32" i="71"/>
  <c r="I32" i="71"/>
  <c r="H32" i="71"/>
  <c r="G32" i="71"/>
  <c r="F32" i="71"/>
  <c r="E32" i="71"/>
  <c r="D32" i="71"/>
  <c r="Q32" i="71" s="1"/>
  <c r="B32" i="71"/>
  <c r="Q31" i="71"/>
  <c r="B31" i="71"/>
  <c r="Q30" i="71"/>
  <c r="B30" i="71"/>
  <c r="Q29" i="71"/>
  <c r="B29" i="71"/>
  <c r="Q28" i="71"/>
  <c r="B28" i="71"/>
  <c r="Q27" i="71"/>
  <c r="B27" i="71"/>
  <c r="Q26" i="71"/>
  <c r="B26" i="71"/>
  <c r="Q25" i="71"/>
  <c r="B25" i="71"/>
  <c r="Q24" i="71"/>
  <c r="B24" i="71"/>
  <c r="Q23" i="71"/>
  <c r="B23" i="71"/>
  <c r="O22" i="71"/>
  <c r="N22" i="71"/>
  <c r="N21" i="71" s="1"/>
  <c r="M22" i="71"/>
  <c r="L22" i="71"/>
  <c r="K22" i="71"/>
  <c r="J22" i="71"/>
  <c r="I22" i="71"/>
  <c r="H22" i="71"/>
  <c r="G22" i="71"/>
  <c r="F22" i="71"/>
  <c r="E22" i="71"/>
  <c r="E21" i="71" s="1"/>
  <c r="D22" i="71"/>
  <c r="D21" i="71" s="1"/>
  <c r="B22" i="71"/>
  <c r="G21" i="71"/>
  <c r="I18" i="71"/>
  <c r="H18" i="71"/>
  <c r="F18" i="71"/>
  <c r="Q16" i="71"/>
  <c r="Q14" i="71" s="1"/>
  <c r="B16" i="71"/>
  <c r="Q15" i="71"/>
  <c r="B15" i="71"/>
  <c r="O14" i="71"/>
  <c r="N14" i="71"/>
  <c r="M14" i="71"/>
  <c r="L14" i="71"/>
  <c r="K14" i="71"/>
  <c r="J14" i="71"/>
  <c r="I14" i="71"/>
  <c r="H14" i="71"/>
  <c r="G14" i="71"/>
  <c r="F14" i="71"/>
  <c r="E14" i="71"/>
  <c r="E18" i="71" s="1"/>
  <c r="D14" i="71"/>
  <c r="M12" i="71"/>
  <c r="L12" i="71"/>
  <c r="K12" i="71"/>
  <c r="J12" i="71"/>
  <c r="I12" i="71"/>
  <c r="H12" i="71"/>
  <c r="G12" i="71"/>
  <c r="F12" i="71"/>
  <c r="E12" i="71"/>
  <c r="D12" i="71"/>
  <c r="B12" i="71"/>
  <c r="M11" i="71"/>
  <c r="L11" i="71"/>
  <c r="L10" i="71" s="1"/>
  <c r="L18" i="71" s="1"/>
  <c r="K11" i="71"/>
  <c r="J11" i="71"/>
  <c r="J10" i="71" s="1"/>
  <c r="J18" i="71" s="1"/>
  <c r="I11" i="71"/>
  <c r="H11" i="71"/>
  <c r="H10" i="71" s="1"/>
  <c r="G11" i="71"/>
  <c r="G10" i="71" s="1"/>
  <c r="G18" i="71" s="1"/>
  <c r="F11" i="71"/>
  <c r="E11" i="71"/>
  <c r="D11" i="71"/>
  <c r="B11" i="71"/>
  <c r="O10" i="71"/>
  <c r="O18" i="71" s="1"/>
  <c r="N10" i="71"/>
  <c r="K10" i="71"/>
  <c r="K18" i="71" s="1"/>
  <c r="I10" i="71"/>
  <c r="F10" i="71"/>
  <c r="E10" i="7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108" i="70"/>
  <c r="M103" i="70"/>
  <c r="L103" i="70"/>
  <c r="K103" i="70"/>
  <c r="J103" i="70"/>
  <c r="I103" i="70"/>
  <c r="H103" i="70"/>
  <c r="G103" i="70"/>
  <c r="F103" i="70"/>
  <c r="E103" i="70"/>
  <c r="D103" i="70"/>
  <c r="Q101" i="70"/>
  <c r="B101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B100" i="70"/>
  <c r="Q99" i="70"/>
  <c r="B99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Q98" i="70" s="1"/>
  <c r="B98" i="70"/>
  <c r="Q97" i="70"/>
  <c r="B97" i="70"/>
  <c r="Q96" i="70"/>
  <c r="B96" i="70"/>
  <c r="Q95" i="70"/>
  <c r="B95" i="70"/>
  <c r="Q94" i="70"/>
  <c r="B94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B93" i="70"/>
  <c r="Q92" i="70"/>
  <c r="B92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Q91" i="70" s="1"/>
  <c r="B91" i="70"/>
  <c r="Q90" i="70"/>
  <c r="B90" i="70"/>
  <c r="Q89" i="70"/>
  <c r="B89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B88" i="70"/>
  <c r="Q87" i="70"/>
  <c r="B87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Q86" i="70" s="1"/>
  <c r="B86" i="70"/>
  <c r="Q85" i="70"/>
  <c r="B85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B84" i="70"/>
  <c r="Q83" i="70"/>
  <c r="B83" i="70"/>
  <c r="Q82" i="70"/>
  <c r="B82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B81" i="70"/>
  <c r="Q80" i="70"/>
  <c r="B80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D50" i="70" s="1"/>
  <c r="B79" i="70"/>
  <c r="Q78" i="70"/>
  <c r="B78" i="70"/>
  <c r="O77" i="70"/>
  <c r="N77" i="70"/>
  <c r="M77" i="70"/>
  <c r="L77" i="70"/>
  <c r="K77" i="70"/>
  <c r="K50" i="70" s="1"/>
  <c r="J77" i="70"/>
  <c r="I77" i="70"/>
  <c r="H77" i="70"/>
  <c r="H50" i="70" s="1"/>
  <c r="G77" i="70"/>
  <c r="F77" i="70"/>
  <c r="E77" i="70"/>
  <c r="D77" i="70"/>
  <c r="B77" i="70"/>
  <c r="Q76" i="70"/>
  <c r="B76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Q75" i="70" s="1"/>
  <c r="B75" i="70"/>
  <c r="Q74" i="70"/>
  <c r="B74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Q73" i="70" s="1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Q64" i="70"/>
  <c r="B64" i="70"/>
  <c r="Q63" i="70"/>
  <c r="B63" i="70"/>
  <c r="O62" i="70"/>
  <c r="N62" i="70"/>
  <c r="M62" i="70"/>
  <c r="L62" i="70"/>
  <c r="K62" i="70"/>
  <c r="J62" i="70"/>
  <c r="I62" i="70"/>
  <c r="H62" i="70"/>
  <c r="G62" i="70"/>
  <c r="F62" i="70"/>
  <c r="E62" i="70"/>
  <c r="E50" i="70" s="1"/>
  <c r="D62" i="70"/>
  <c r="Q62" i="70" s="1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Q53" i="70"/>
  <c r="B53" i="70"/>
  <c r="Q52" i="70"/>
  <c r="B52" i="70"/>
  <c r="O51" i="70"/>
  <c r="N51" i="70"/>
  <c r="N50" i="70" s="1"/>
  <c r="M51" i="70"/>
  <c r="L51" i="70"/>
  <c r="K51" i="70"/>
  <c r="J51" i="70"/>
  <c r="I51" i="70"/>
  <c r="I50" i="70" s="1"/>
  <c r="H51" i="70"/>
  <c r="G51" i="70"/>
  <c r="F51" i="70"/>
  <c r="E51" i="70"/>
  <c r="D51" i="70"/>
  <c r="B51" i="70"/>
  <c r="M48" i="70"/>
  <c r="F48" i="70"/>
  <c r="E48" i="70"/>
  <c r="N47" i="70"/>
  <c r="G47" i="70"/>
  <c r="F47" i="70"/>
  <c r="D47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Q32" i="70"/>
  <c r="Q31" i="70" s="1"/>
  <c r="B32" i="70"/>
  <c r="O31" i="70"/>
  <c r="O47" i="70" s="1"/>
  <c r="N31" i="70"/>
  <c r="M31" i="70"/>
  <c r="L31" i="70"/>
  <c r="K31" i="70"/>
  <c r="J31" i="70"/>
  <c r="I31" i="70"/>
  <c r="H31" i="70"/>
  <c r="G31" i="70"/>
  <c r="F31" i="70"/>
  <c r="E31" i="70"/>
  <c r="D31" i="70"/>
  <c r="Q29" i="70"/>
  <c r="M29" i="70"/>
  <c r="L29" i="70"/>
  <c r="K29" i="70"/>
  <c r="J29" i="70"/>
  <c r="I29" i="70"/>
  <c r="H29" i="70"/>
  <c r="G29" i="70"/>
  <c r="F29" i="70"/>
  <c r="E29" i="70"/>
  <c r="D29" i="70"/>
  <c r="B29" i="70"/>
  <c r="Q28" i="70"/>
  <c r="M28" i="70"/>
  <c r="L28" i="70"/>
  <c r="K28" i="70"/>
  <c r="J28" i="70"/>
  <c r="I28" i="70"/>
  <c r="H28" i="70"/>
  <c r="G28" i="70"/>
  <c r="F28" i="70"/>
  <c r="E28" i="70"/>
  <c r="D28" i="70"/>
  <c r="B28" i="70"/>
  <c r="Q27" i="70"/>
  <c r="M27" i="70"/>
  <c r="L27" i="70"/>
  <c r="K27" i="70"/>
  <c r="J27" i="70"/>
  <c r="I27" i="70"/>
  <c r="H27" i="70"/>
  <c r="G27" i="70"/>
  <c r="F27" i="70"/>
  <c r="E27" i="70"/>
  <c r="D27" i="70"/>
  <c r="B27" i="70"/>
  <c r="Q26" i="70"/>
  <c r="M26" i="70"/>
  <c r="L26" i="70"/>
  <c r="K26" i="70"/>
  <c r="J26" i="70"/>
  <c r="I26" i="70"/>
  <c r="H26" i="70"/>
  <c r="G26" i="70"/>
  <c r="F26" i="70"/>
  <c r="E26" i="70"/>
  <c r="D26" i="70"/>
  <c r="B26" i="70"/>
  <c r="Q25" i="70"/>
  <c r="M25" i="70"/>
  <c r="L25" i="70"/>
  <c r="K25" i="70"/>
  <c r="J25" i="70"/>
  <c r="I25" i="70"/>
  <c r="H25" i="70"/>
  <c r="G25" i="70"/>
  <c r="F25" i="70"/>
  <c r="E25" i="70"/>
  <c r="D25" i="70"/>
  <c r="B25" i="70"/>
  <c r="Q24" i="70"/>
  <c r="M24" i="70"/>
  <c r="L24" i="70"/>
  <c r="K24" i="70"/>
  <c r="J24" i="70"/>
  <c r="I24" i="70"/>
  <c r="H24" i="70"/>
  <c r="G24" i="70"/>
  <c r="F24" i="70"/>
  <c r="E24" i="70"/>
  <c r="D24" i="70"/>
  <c r="B24" i="70"/>
  <c r="Q23" i="70"/>
  <c r="M23" i="70"/>
  <c r="L23" i="70"/>
  <c r="K23" i="70"/>
  <c r="J23" i="70"/>
  <c r="I23" i="70"/>
  <c r="H23" i="70"/>
  <c r="G23" i="70"/>
  <c r="F23" i="70"/>
  <c r="E23" i="70"/>
  <c r="D23" i="70"/>
  <c r="B23" i="70"/>
  <c r="Q22" i="70"/>
  <c r="M22" i="70"/>
  <c r="L22" i="70"/>
  <c r="K22" i="70"/>
  <c r="J22" i="70"/>
  <c r="I22" i="70"/>
  <c r="H22" i="70"/>
  <c r="G22" i="70"/>
  <c r="F22" i="70"/>
  <c r="E22" i="70"/>
  <c r="D22" i="70"/>
  <c r="B22" i="70"/>
  <c r="Q21" i="70"/>
  <c r="M21" i="70"/>
  <c r="L21" i="70"/>
  <c r="K21" i="70"/>
  <c r="J21" i="70"/>
  <c r="I21" i="70"/>
  <c r="H21" i="70"/>
  <c r="G21" i="70"/>
  <c r="F21" i="70"/>
  <c r="E21" i="70"/>
  <c r="D21" i="70"/>
  <c r="B21" i="70"/>
  <c r="Q20" i="70"/>
  <c r="M20" i="70"/>
  <c r="L20" i="70"/>
  <c r="K20" i="70"/>
  <c r="J20" i="70"/>
  <c r="I20" i="70"/>
  <c r="H20" i="70"/>
  <c r="G20" i="70"/>
  <c r="F20" i="70"/>
  <c r="E20" i="70"/>
  <c r="D20" i="70"/>
  <c r="B20" i="70"/>
  <c r="Q19" i="70"/>
  <c r="M19" i="70"/>
  <c r="L19" i="70"/>
  <c r="K19" i="70"/>
  <c r="J19" i="70"/>
  <c r="I19" i="70"/>
  <c r="H19" i="70"/>
  <c r="G19" i="70"/>
  <c r="F19" i="70"/>
  <c r="E19" i="70"/>
  <c r="D19" i="70"/>
  <c r="B19" i="70"/>
  <c r="Q18" i="70"/>
  <c r="M18" i="70"/>
  <c r="L18" i="70"/>
  <c r="K18" i="70"/>
  <c r="J18" i="70"/>
  <c r="I18" i="70"/>
  <c r="H18" i="70"/>
  <c r="G18" i="70"/>
  <c r="F18" i="70"/>
  <c r="E18" i="70"/>
  <c r="D18" i="70"/>
  <c r="B18" i="70"/>
  <c r="Q17" i="70"/>
  <c r="M17" i="70"/>
  <c r="L17" i="70"/>
  <c r="K17" i="70"/>
  <c r="J17" i="70"/>
  <c r="I17" i="70"/>
  <c r="H17" i="70"/>
  <c r="G17" i="70"/>
  <c r="F17" i="70"/>
  <c r="E17" i="70"/>
  <c r="D17" i="70"/>
  <c r="B17" i="70"/>
  <c r="Q16" i="70"/>
  <c r="M16" i="70"/>
  <c r="L16" i="70"/>
  <c r="K16" i="70"/>
  <c r="J16" i="70"/>
  <c r="I16" i="70"/>
  <c r="H16" i="70"/>
  <c r="G16" i="70"/>
  <c r="F16" i="70"/>
  <c r="E16" i="70"/>
  <c r="D16" i="70"/>
  <c r="B16" i="70"/>
  <c r="Q15" i="70"/>
  <c r="M15" i="70"/>
  <c r="L15" i="70"/>
  <c r="K15" i="70"/>
  <c r="J15" i="70"/>
  <c r="I15" i="70"/>
  <c r="H15" i="70"/>
  <c r="G15" i="70"/>
  <c r="F15" i="70"/>
  <c r="E15" i="70"/>
  <c r="D15" i="70"/>
  <c r="B15" i="70"/>
  <c r="Q14" i="70"/>
  <c r="M14" i="70"/>
  <c r="L14" i="70"/>
  <c r="K14" i="70"/>
  <c r="J14" i="70"/>
  <c r="I14" i="70"/>
  <c r="H14" i="70"/>
  <c r="G14" i="70"/>
  <c r="F14" i="70"/>
  <c r="E14" i="70"/>
  <c r="D14" i="70"/>
  <c r="B14" i="70"/>
  <c r="Q13" i="70"/>
  <c r="M13" i="70"/>
  <c r="L13" i="70"/>
  <c r="K13" i="70"/>
  <c r="J13" i="70"/>
  <c r="I13" i="70"/>
  <c r="H13" i="70"/>
  <c r="G13" i="70"/>
  <c r="F13" i="70"/>
  <c r="E13" i="70"/>
  <c r="D13" i="70"/>
  <c r="B13" i="70"/>
  <c r="Q12" i="70"/>
  <c r="M12" i="70"/>
  <c r="L12" i="70"/>
  <c r="K12" i="70"/>
  <c r="J12" i="70"/>
  <c r="I12" i="70"/>
  <c r="H12" i="70"/>
  <c r="G12" i="70"/>
  <c r="F12" i="70"/>
  <c r="E12" i="70"/>
  <c r="D12" i="70"/>
  <c r="B12" i="70"/>
  <c r="Q11" i="70"/>
  <c r="M11" i="70"/>
  <c r="L11" i="70"/>
  <c r="K11" i="70"/>
  <c r="K10" i="70" s="1"/>
  <c r="J11" i="70"/>
  <c r="I11" i="70"/>
  <c r="H11" i="70"/>
  <c r="H10" i="70" s="1"/>
  <c r="H47" i="70" s="1"/>
  <c r="G11" i="70"/>
  <c r="F11" i="70"/>
  <c r="F10" i="70" s="1"/>
  <c r="E11" i="70"/>
  <c r="E10" i="70" s="1"/>
  <c r="E47" i="70" s="1"/>
  <c r="D11" i="70"/>
  <c r="B11" i="70"/>
  <c r="Q10" i="70"/>
  <c r="Q47" i="70" s="1"/>
  <c r="O10" i="70"/>
  <c r="N10" i="70"/>
  <c r="M10" i="70"/>
  <c r="M47" i="70" s="1"/>
  <c r="L10" i="70"/>
  <c r="L47" i="70" s="1"/>
  <c r="J10" i="70"/>
  <c r="J47" i="70" s="1"/>
  <c r="J48" i="70" s="1"/>
  <c r="I10" i="70"/>
  <c r="I47" i="70" s="1"/>
  <c r="G10" i="70"/>
  <c r="D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4" i="69"/>
  <c r="M79" i="69"/>
  <c r="L79" i="69"/>
  <c r="K79" i="69"/>
  <c r="J79" i="69"/>
  <c r="I79" i="69"/>
  <c r="H79" i="69"/>
  <c r="G79" i="69"/>
  <c r="F79" i="69"/>
  <c r="E79" i="69"/>
  <c r="D79" i="69"/>
  <c r="Q77" i="69"/>
  <c r="B77" i="69"/>
  <c r="O76" i="69"/>
  <c r="N76" i="69"/>
  <c r="M76" i="69"/>
  <c r="L76" i="69"/>
  <c r="K76" i="69"/>
  <c r="J76" i="69"/>
  <c r="I76" i="69"/>
  <c r="H76" i="69"/>
  <c r="G76" i="69"/>
  <c r="F76" i="69"/>
  <c r="E76" i="69"/>
  <c r="D76" i="69"/>
  <c r="B76" i="69"/>
  <c r="Q75" i="69"/>
  <c r="B75" i="69"/>
  <c r="O74" i="69"/>
  <c r="O29" i="69" s="1"/>
  <c r="N74" i="69"/>
  <c r="M74" i="69"/>
  <c r="L74" i="69"/>
  <c r="K74" i="69"/>
  <c r="J74" i="69"/>
  <c r="I74" i="69"/>
  <c r="H74" i="69"/>
  <c r="G74" i="69"/>
  <c r="F74" i="69"/>
  <c r="E74" i="69"/>
  <c r="D74" i="69"/>
  <c r="B74" i="69"/>
  <c r="Q73" i="69"/>
  <c r="B73" i="69"/>
  <c r="Q72" i="69"/>
  <c r="B72" i="69"/>
  <c r="Q71" i="69"/>
  <c r="B71" i="69"/>
  <c r="Q70" i="69"/>
  <c r="B70" i="69"/>
  <c r="Q69" i="69"/>
  <c r="B69" i="69"/>
  <c r="O68" i="69"/>
  <c r="N68" i="69"/>
  <c r="M68" i="69"/>
  <c r="L68" i="69"/>
  <c r="K68" i="69"/>
  <c r="J68" i="69"/>
  <c r="I68" i="69"/>
  <c r="H68" i="69"/>
  <c r="G68" i="69"/>
  <c r="F68" i="69"/>
  <c r="E68" i="69"/>
  <c r="D68" i="69"/>
  <c r="B68" i="69"/>
  <c r="Q67" i="69"/>
  <c r="B67" i="69"/>
  <c r="O66" i="69"/>
  <c r="N66" i="69"/>
  <c r="M66" i="69"/>
  <c r="L66" i="69"/>
  <c r="K66" i="69"/>
  <c r="J66" i="69"/>
  <c r="I66" i="69"/>
  <c r="H66" i="69"/>
  <c r="G66" i="69"/>
  <c r="F66" i="69"/>
  <c r="E66" i="69"/>
  <c r="D66" i="69"/>
  <c r="B66" i="69"/>
  <c r="Q65" i="69"/>
  <c r="B65" i="69"/>
  <c r="Q64" i="69"/>
  <c r="B64" i="69"/>
  <c r="Q63" i="69"/>
  <c r="B63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B62" i="69"/>
  <c r="Q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Q53" i="69" s="1"/>
  <c r="B53" i="69"/>
  <c r="Q52" i="69"/>
  <c r="B52" i="69"/>
  <c r="O51" i="69"/>
  <c r="N51" i="69"/>
  <c r="M51" i="69"/>
  <c r="L51" i="69"/>
  <c r="K51" i="69"/>
  <c r="J51" i="69"/>
  <c r="I51" i="69"/>
  <c r="H51" i="69"/>
  <c r="G51" i="69"/>
  <c r="F51" i="69"/>
  <c r="E51" i="69"/>
  <c r="D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Q44" i="69"/>
  <c r="B44" i="69"/>
  <c r="Q43" i="69"/>
  <c r="B43" i="69"/>
  <c r="Q42" i="69"/>
  <c r="B42" i="69"/>
  <c r="Q41" i="69"/>
  <c r="B41" i="69"/>
  <c r="O40" i="69"/>
  <c r="N40" i="69"/>
  <c r="M40" i="69"/>
  <c r="L40" i="69"/>
  <c r="K40" i="69"/>
  <c r="J40" i="69"/>
  <c r="I40" i="69"/>
  <c r="H40" i="69"/>
  <c r="H29" i="69" s="1"/>
  <c r="G40" i="69"/>
  <c r="F40" i="69"/>
  <c r="E40" i="69"/>
  <c r="D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O30" i="69"/>
  <c r="N30" i="69"/>
  <c r="M30" i="69"/>
  <c r="L30" i="69"/>
  <c r="K30" i="69"/>
  <c r="J30" i="69"/>
  <c r="I30" i="69"/>
  <c r="H30" i="69"/>
  <c r="G30" i="69"/>
  <c r="F30" i="69"/>
  <c r="F29" i="69" s="1"/>
  <c r="E30" i="69"/>
  <c r="D30" i="69"/>
  <c r="D29" i="69" s="1"/>
  <c r="B30" i="69"/>
  <c r="I29" i="69"/>
  <c r="G29" i="69"/>
  <c r="N26" i="69"/>
  <c r="Q24" i="69"/>
  <c r="O24" i="69"/>
  <c r="O26" i="69" s="1"/>
  <c r="N24" i="69"/>
  <c r="M24" i="69"/>
  <c r="L24" i="69"/>
  <c r="K24" i="69"/>
  <c r="J24" i="69"/>
  <c r="I24" i="69"/>
  <c r="I26" i="69" s="1"/>
  <c r="I81" i="69" s="1"/>
  <c r="H24" i="69"/>
  <c r="G24" i="69"/>
  <c r="F24" i="69"/>
  <c r="E24" i="69"/>
  <c r="D24" i="69"/>
  <c r="M22" i="69"/>
  <c r="L22" i="69"/>
  <c r="K22" i="69"/>
  <c r="J22" i="69"/>
  <c r="I22" i="69"/>
  <c r="H22" i="69"/>
  <c r="G22" i="69"/>
  <c r="F22" i="69"/>
  <c r="E22" i="69"/>
  <c r="D22" i="69"/>
  <c r="B22" i="69"/>
  <c r="M21" i="69"/>
  <c r="L21" i="69"/>
  <c r="K21" i="69"/>
  <c r="J21" i="69"/>
  <c r="I21" i="69"/>
  <c r="H21" i="69"/>
  <c r="G21" i="69"/>
  <c r="F21" i="69"/>
  <c r="E21" i="69"/>
  <c r="D21" i="69"/>
  <c r="B21" i="69"/>
  <c r="M20" i="69"/>
  <c r="L20" i="69"/>
  <c r="K20" i="69"/>
  <c r="J20" i="69"/>
  <c r="I20" i="69"/>
  <c r="H20" i="69"/>
  <c r="G20" i="69"/>
  <c r="F20" i="69"/>
  <c r="E20" i="69"/>
  <c r="D20" i="69"/>
  <c r="B20" i="69"/>
  <c r="M19" i="69"/>
  <c r="L19" i="69"/>
  <c r="K19" i="69"/>
  <c r="J19" i="69"/>
  <c r="I19" i="69"/>
  <c r="H19" i="69"/>
  <c r="G19" i="69"/>
  <c r="F19" i="69"/>
  <c r="E19" i="69"/>
  <c r="D19" i="69"/>
  <c r="B19" i="69"/>
  <c r="M18" i="69"/>
  <c r="L18" i="69"/>
  <c r="K18" i="69"/>
  <c r="J18" i="69"/>
  <c r="I18" i="69"/>
  <c r="H18" i="69"/>
  <c r="G18" i="69"/>
  <c r="F18" i="69"/>
  <c r="E18" i="69"/>
  <c r="D18" i="69"/>
  <c r="B18" i="69"/>
  <c r="M17" i="69"/>
  <c r="L17" i="69"/>
  <c r="K17" i="69"/>
  <c r="J17" i="69"/>
  <c r="I17" i="69"/>
  <c r="H17" i="69"/>
  <c r="G17" i="69"/>
  <c r="F17" i="69"/>
  <c r="E17" i="69"/>
  <c r="D17" i="69"/>
  <c r="Q17" i="69" s="1"/>
  <c r="B17" i="69"/>
  <c r="M16" i="69"/>
  <c r="L16" i="69"/>
  <c r="K16" i="69"/>
  <c r="J16" i="69"/>
  <c r="I16" i="69"/>
  <c r="H16" i="69"/>
  <c r="G16" i="69"/>
  <c r="F16" i="69"/>
  <c r="E16" i="69"/>
  <c r="D16" i="69"/>
  <c r="Q16" i="69" s="1"/>
  <c r="B16" i="69"/>
  <c r="M15" i="69"/>
  <c r="L15" i="69"/>
  <c r="K15" i="69"/>
  <c r="J15" i="69"/>
  <c r="I15" i="69"/>
  <c r="H15" i="69"/>
  <c r="G15" i="69"/>
  <c r="F15" i="69"/>
  <c r="E15" i="69"/>
  <c r="D15" i="69"/>
  <c r="B15" i="69"/>
  <c r="M14" i="69"/>
  <c r="L14" i="69"/>
  <c r="K14" i="69"/>
  <c r="J14" i="69"/>
  <c r="I14" i="69"/>
  <c r="H14" i="69"/>
  <c r="G14" i="69"/>
  <c r="F14" i="69"/>
  <c r="E14" i="69"/>
  <c r="D14" i="69"/>
  <c r="B14" i="69"/>
  <c r="M13" i="69"/>
  <c r="L13" i="69"/>
  <c r="K13" i="69"/>
  <c r="J13" i="69"/>
  <c r="I13" i="69"/>
  <c r="H13" i="69"/>
  <c r="G13" i="69"/>
  <c r="F13" i="69"/>
  <c r="E13" i="69"/>
  <c r="D13" i="69"/>
  <c r="B13" i="69"/>
  <c r="M12" i="69"/>
  <c r="L12" i="69"/>
  <c r="K12" i="69"/>
  <c r="J12" i="69"/>
  <c r="I12" i="69"/>
  <c r="H12" i="69"/>
  <c r="G12" i="69"/>
  <c r="F12" i="69"/>
  <c r="E12" i="69"/>
  <c r="D12" i="69"/>
  <c r="Q12" i="69" s="1"/>
  <c r="B12" i="69"/>
  <c r="M11" i="69"/>
  <c r="L11" i="69"/>
  <c r="K11" i="69"/>
  <c r="K10" i="69" s="1"/>
  <c r="K26" i="69" s="1"/>
  <c r="J11" i="69"/>
  <c r="I11" i="69"/>
  <c r="I10" i="69" s="1"/>
  <c r="H11" i="69"/>
  <c r="H10" i="69" s="1"/>
  <c r="H26" i="69" s="1"/>
  <c r="G11" i="69"/>
  <c r="F11" i="69"/>
  <c r="E11" i="69"/>
  <c r="D11" i="69"/>
  <c r="D10" i="69" s="1"/>
  <c r="D26" i="69" s="1"/>
  <c r="B11" i="69"/>
  <c r="O10" i="69"/>
  <c r="N10" i="69"/>
  <c r="M10" i="69"/>
  <c r="M26" i="69" s="1"/>
  <c r="M27" i="69" s="1"/>
  <c r="L10" i="69"/>
  <c r="J10" i="69"/>
  <c r="J26" i="69" s="1"/>
  <c r="G10" i="69"/>
  <c r="G26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149" i="68"/>
  <c r="M144" i="68"/>
  <c r="L144" i="68"/>
  <c r="K144" i="68"/>
  <c r="J144" i="68"/>
  <c r="I144" i="68"/>
  <c r="H144" i="68"/>
  <c r="G144" i="68"/>
  <c r="F144" i="68"/>
  <c r="E144" i="68"/>
  <c r="D144" i="68"/>
  <c r="Q142" i="68"/>
  <c r="B142" i="68"/>
  <c r="Q141" i="68"/>
  <c r="B141" i="68"/>
  <c r="O140" i="68"/>
  <c r="N140" i="68"/>
  <c r="M140" i="68"/>
  <c r="L140" i="68"/>
  <c r="K140" i="68"/>
  <c r="J140" i="68"/>
  <c r="I140" i="68"/>
  <c r="H140" i="68"/>
  <c r="G140" i="68"/>
  <c r="F140" i="68"/>
  <c r="E140" i="68"/>
  <c r="D140" i="68"/>
  <c r="B140" i="68"/>
  <c r="Q139" i="68"/>
  <c r="B139" i="68"/>
  <c r="O138" i="68"/>
  <c r="N138" i="68"/>
  <c r="M138" i="68"/>
  <c r="L138" i="68"/>
  <c r="K138" i="68"/>
  <c r="J138" i="68"/>
  <c r="I138" i="68"/>
  <c r="H138" i="68"/>
  <c r="G138" i="68"/>
  <c r="F138" i="68"/>
  <c r="E138" i="68"/>
  <c r="D138" i="68"/>
  <c r="B138" i="68"/>
  <c r="Q137" i="68"/>
  <c r="B137" i="68"/>
  <c r="Q136" i="68"/>
  <c r="B136" i="68"/>
  <c r="Q135" i="68"/>
  <c r="B135" i="68"/>
  <c r="Q134" i="68"/>
  <c r="B134" i="68"/>
  <c r="Q133" i="68"/>
  <c r="B133" i="68"/>
  <c r="Q132" i="68"/>
  <c r="B132" i="68"/>
  <c r="Q131" i="68"/>
  <c r="B131" i="68"/>
  <c r="O130" i="68"/>
  <c r="N130" i="68"/>
  <c r="M130" i="68"/>
  <c r="L130" i="68"/>
  <c r="K130" i="68"/>
  <c r="J130" i="68"/>
  <c r="I130" i="68"/>
  <c r="H130" i="68"/>
  <c r="G130" i="68"/>
  <c r="F130" i="68"/>
  <c r="E130" i="68"/>
  <c r="D130" i="68"/>
  <c r="B130" i="68"/>
  <c r="Q129" i="68"/>
  <c r="B129" i="68"/>
  <c r="Q128" i="68"/>
  <c r="B128" i="68"/>
  <c r="O127" i="68"/>
  <c r="N127" i="68"/>
  <c r="M127" i="68"/>
  <c r="L127" i="68"/>
  <c r="K127" i="68"/>
  <c r="J127" i="68"/>
  <c r="I127" i="68"/>
  <c r="H127" i="68"/>
  <c r="G127" i="68"/>
  <c r="F127" i="68"/>
  <c r="E127" i="68"/>
  <c r="D127" i="68"/>
  <c r="B127" i="68"/>
  <c r="Q126" i="68"/>
  <c r="B126" i="68"/>
  <c r="Q125" i="68"/>
  <c r="B125" i="68"/>
  <c r="Q124" i="68"/>
  <c r="B124" i="68"/>
  <c r="O123" i="68"/>
  <c r="N123" i="68"/>
  <c r="M123" i="68"/>
  <c r="L123" i="68"/>
  <c r="K123" i="68"/>
  <c r="J123" i="68"/>
  <c r="I123" i="68"/>
  <c r="H123" i="68"/>
  <c r="G123" i="68"/>
  <c r="F123" i="68"/>
  <c r="E123" i="68"/>
  <c r="D123" i="68"/>
  <c r="B123" i="68"/>
  <c r="Q122" i="68"/>
  <c r="B122" i="68"/>
  <c r="O121" i="68"/>
  <c r="N121" i="68"/>
  <c r="M121" i="68"/>
  <c r="L121" i="68"/>
  <c r="K121" i="68"/>
  <c r="J121" i="68"/>
  <c r="I121" i="68"/>
  <c r="H121" i="68"/>
  <c r="G121" i="68"/>
  <c r="F121" i="68"/>
  <c r="E121" i="68"/>
  <c r="D121" i="68"/>
  <c r="B121" i="68"/>
  <c r="Q120" i="68"/>
  <c r="B120" i="68"/>
  <c r="O119" i="68"/>
  <c r="N119" i="68"/>
  <c r="M119" i="68"/>
  <c r="L119" i="68"/>
  <c r="K119" i="68"/>
  <c r="J119" i="68"/>
  <c r="I119" i="68"/>
  <c r="H119" i="68"/>
  <c r="G119" i="68"/>
  <c r="F119" i="68"/>
  <c r="E119" i="68"/>
  <c r="D119" i="68"/>
  <c r="B119" i="68"/>
  <c r="Q118" i="68"/>
  <c r="B118" i="68"/>
  <c r="Q117" i="68"/>
  <c r="B117" i="68"/>
  <c r="O116" i="68"/>
  <c r="N116" i="68"/>
  <c r="M116" i="68"/>
  <c r="L116" i="68"/>
  <c r="K116" i="68"/>
  <c r="J116" i="68"/>
  <c r="I116" i="68"/>
  <c r="H116" i="68"/>
  <c r="G116" i="68"/>
  <c r="F116" i="68"/>
  <c r="E116" i="68"/>
  <c r="D116" i="68"/>
  <c r="Q116" i="68" s="1"/>
  <c r="B116" i="68"/>
  <c r="Q115" i="68"/>
  <c r="B115" i="68"/>
  <c r="O114" i="68"/>
  <c r="N114" i="68"/>
  <c r="M114" i="68"/>
  <c r="L114" i="68"/>
  <c r="K114" i="68"/>
  <c r="J114" i="68"/>
  <c r="I114" i="68"/>
  <c r="H114" i="68"/>
  <c r="G114" i="68"/>
  <c r="F114" i="68"/>
  <c r="E114" i="68"/>
  <c r="D114" i="68"/>
  <c r="B114" i="68"/>
  <c r="Q113" i="68"/>
  <c r="B113" i="68"/>
  <c r="Q112" i="68"/>
  <c r="B112" i="68"/>
  <c r="O111" i="68"/>
  <c r="N111" i="68"/>
  <c r="M111" i="68"/>
  <c r="M78" i="68" s="1"/>
  <c r="L111" i="68"/>
  <c r="K111" i="68"/>
  <c r="J111" i="68"/>
  <c r="I111" i="68"/>
  <c r="H111" i="68"/>
  <c r="G111" i="68"/>
  <c r="F111" i="68"/>
  <c r="E111" i="68"/>
  <c r="D111" i="68"/>
  <c r="B111" i="68"/>
  <c r="Q110" i="68"/>
  <c r="B110" i="68"/>
  <c r="O109" i="68"/>
  <c r="N109" i="68"/>
  <c r="M109" i="68"/>
  <c r="L109" i="68"/>
  <c r="K109" i="68"/>
  <c r="J109" i="68"/>
  <c r="I109" i="68"/>
  <c r="H109" i="68"/>
  <c r="G109" i="68"/>
  <c r="F109" i="68"/>
  <c r="E109" i="68"/>
  <c r="D109" i="68"/>
  <c r="Q109" i="68" s="1"/>
  <c r="B109" i="68"/>
  <c r="Q108" i="68"/>
  <c r="B108" i="68"/>
  <c r="Q107" i="68"/>
  <c r="B107" i="68"/>
  <c r="O106" i="68"/>
  <c r="N106" i="68"/>
  <c r="M106" i="68"/>
  <c r="L106" i="68"/>
  <c r="K106" i="68"/>
  <c r="J106" i="68"/>
  <c r="I106" i="68"/>
  <c r="H106" i="68"/>
  <c r="G106" i="68"/>
  <c r="F106" i="68"/>
  <c r="E106" i="68"/>
  <c r="D106" i="68"/>
  <c r="B106" i="68"/>
  <c r="Q105" i="68"/>
  <c r="B105" i="68"/>
  <c r="O104" i="68"/>
  <c r="N104" i="68"/>
  <c r="M104" i="68"/>
  <c r="L104" i="68"/>
  <c r="K104" i="68"/>
  <c r="J104" i="68"/>
  <c r="I104" i="68"/>
  <c r="H104" i="68"/>
  <c r="G104" i="68"/>
  <c r="F104" i="68"/>
  <c r="E104" i="68"/>
  <c r="D104" i="68"/>
  <c r="B104" i="68"/>
  <c r="Q103" i="68"/>
  <c r="B103" i="68"/>
  <c r="O102" i="68"/>
  <c r="N102" i="68"/>
  <c r="M102" i="68"/>
  <c r="L102" i="68"/>
  <c r="K102" i="68"/>
  <c r="J102" i="68"/>
  <c r="I102" i="68"/>
  <c r="H102" i="68"/>
  <c r="G102" i="68"/>
  <c r="F102" i="68"/>
  <c r="E102" i="68"/>
  <c r="D102" i="68"/>
  <c r="Q102" i="68" s="1"/>
  <c r="B102" i="68"/>
  <c r="Q101" i="68"/>
  <c r="B101" i="68"/>
  <c r="O100" i="68"/>
  <c r="N100" i="68"/>
  <c r="M100" i="68"/>
  <c r="L100" i="68"/>
  <c r="K100" i="68"/>
  <c r="J100" i="68"/>
  <c r="I100" i="68"/>
  <c r="H100" i="68"/>
  <c r="G100" i="68"/>
  <c r="F100" i="68"/>
  <c r="E100" i="68"/>
  <c r="D100" i="68"/>
  <c r="Q100" i="68" s="1"/>
  <c r="B100" i="68"/>
  <c r="Q99" i="68"/>
  <c r="B99" i="68"/>
  <c r="Q98" i="68"/>
  <c r="B98" i="68"/>
  <c r="Q97" i="68"/>
  <c r="B97" i="68"/>
  <c r="Q96" i="68"/>
  <c r="B96" i="68"/>
  <c r="Q95" i="68"/>
  <c r="B95" i="68"/>
  <c r="Q94" i="68"/>
  <c r="B94" i="68"/>
  <c r="Q93" i="68"/>
  <c r="B93" i="68"/>
  <c r="Q92" i="68"/>
  <c r="B92" i="68"/>
  <c r="Q91" i="68"/>
  <c r="B91" i="68"/>
  <c r="Q90" i="68"/>
  <c r="B90" i="68"/>
  <c r="O89" i="68"/>
  <c r="N89" i="68"/>
  <c r="M89" i="68"/>
  <c r="L89" i="68"/>
  <c r="K89" i="68"/>
  <c r="J89" i="68"/>
  <c r="I89" i="68"/>
  <c r="H89" i="68"/>
  <c r="G89" i="68"/>
  <c r="F89" i="68"/>
  <c r="E89" i="68"/>
  <c r="D89" i="68"/>
  <c r="B89" i="68"/>
  <c r="Q88" i="68"/>
  <c r="B88" i="68"/>
  <c r="Q87" i="68"/>
  <c r="B87" i="68"/>
  <c r="Q86" i="68"/>
  <c r="B86" i="68"/>
  <c r="Q85" i="68"/>
  <c r="B85" i="68"/>
  <c r="Q84" i="68"/>
  <c r="B84" i="68"/>
  <c r="Q83" i="68"/>
  <c r="B83" i="68"/>
  <c r="Q82" i="68"/>
  <c r="B82" i="68"/>
  <c r="Q81" i="68"/>
  <c r="B81" i="68"/>
  <c r="Q80" i="68"/>
  <c r="B80" i="68"/>
  <c r="O79" i="68"/>
  <c r="N79" i="68"/>
  <c r="M79" i="68"/>
  <c r="L79" i="68"/>
  <c r="K79" i="68"/>
  <c r="J79" i="68"/>
  <c r="I79" i="68"/>
  <c r="H79" i="68"/>
  <c r="G79" i="68"/>
  <c r="F79" i="68"/>
  <c r="E79" i="68"/>
  <c r="D79" i="68"/>
  <c r="B79" i="68"/>
  <c r="L78" i="68"/>
  <c r="G78" i="68"/>
  <c r="I75" i="68"/>
  <c r="Q73" i="68"/>
  <c r="B73" i="68"/>
  <c r="Q72" i="68"/>
  <c r="B72" i="68"/>
  <c r="Q71" i="68"/>
  <c r="B71" i="68"/>
  <c r="Q70" i="68"/>
  <c r="B70" i="68"/>
  <c r="Q69" i="68"/>
  <c r="B69" i="68"/>
  <c r="Q68" i="68"/>
  <c r="B68" i="68"/>
  <c r="Q67" i="68"/>
  <c r="B67" i="68"/>
  <c r="Q66" i="68"/>
  <c r="B66" i="68"/>
  <c r="Q65" i="68"/>
  <c r="B65" i="68"/>
  <c r="Q64" i="68"/>
  <c r="B64" i="68"/>
  <c r="Q63" i="68"/>
  <c r="B63" i="68"/>
  <c r="Q62" i="68"/>
  <c r="B62" i="68"/>
  <c r="Q61" i="68"/>
  <c r="B61" i="68"/>
  <c r="Q60" i="68"/>
  <c r="B60" i="68"/>
  <c r="Q59" i="68"/>
  <c r="B59" i="68"/>
  <c r="Q58" i="68"/>
  <c r="B58" i="68"/>
  <c r="Q57" i="68"/>
  <c r="B57" i="68"/>
  <c r="Q56" i="68"/>
  <c r="B56" i="68"/>
  <c r="Q55" i="68"/>
  <c r="B55" i="68"/>
  <c r="Q54" i="68"/>
  <c r="B54" i="68"/>
  <c r="Q53" i="68"/>
  <c r="B53" i="68"/>
  <c r="Q52" i="68"/>
  <c r="B52" i="68"/>
  <c r="Q51" i="68"/>
  <c r="B51" i="68"/>
  <c r="O50" i="68"/>
  <c r="N50" i="68"/>
  <c r="N75" i="68" s="1"/>
  <c r="M50" i="68"/>
  <c r="L50" i="68"/>
  <c r="K50" i="68"/>
  <c r="J50" i="68"/>
  <c r="I50" i="68"/>
  <c r="H50" i="68"/>
  <c r="G50" i="68"/>
  <c r="F50" i="68"/>
  <c r="E50" i="68"/>
  <c r="D50" i="68"/>
  <c r="M48" i="68"/>
  <c r="L48" i="68"/>
  <c r="K48" i="68"/>
  <c r="J48" i="68"/>
  <c r="I48" i="68"/>
  <c r="H48" i="68"/>
  <c r="G48" i="68"/>
  <c r="F48" i="68"/>
  <c r="E48" i="68"/>
  <c r="D48" i="68"/>
  <c r="B48" i="68"/>
  <c r="M47" i="68"/>
  <c r="L47" i="68"/>
  <c r="K47" i="68"/>
  <c r="J47" i="68"/>
  <c r="I47" i="68"/>
  <c r="H47" i="68"/>
  <c r="G47" i="68"/>
  <c r="F47" i="68"/>
  <c r="E47" i="68"/>
  <c r="D47" i="68"/>
  <c r="B47" i="68"/>
  <c r="M46" i="68"/>
  <c r="L46" i="68"/>
  <c r="K46" i="68"/>
  <c r="J46" i="68"/>
  <c r="I46" i="68"/>
  <c r="H46" i="68"/>
  <c r="G46" i="68"/>
  <c r="F46" i="68"/>
  <c r="E46" i="68"/>
  <c r="D46" i="68"/>
  <c r="Q46" i="68" s="1"/>
  <c r="B46" i="68"/>
  <c r="M45" i="68"/>
  <c r="L45" i="68"/>
  <c r="K45" i="68"/>
  <c r="J45" i="68"/>
  <c r="I45" i="68"/>
  <c r="H45" i="68"/>
  <c r="G45" i="68"/>
  <c r="F45" i="68"/>
  <c r="E45" i="68"/>
  <c r="D45" i="68"/>
  <c r="B45" i="68"/>
  <c r="M44" i="68"/>
  <c r="L44" i="68"/>
  <c r="K44" i="68"/>
  <c r="J44" i="68"/>
  <c r="I44" i="68"/>
  <c r="H44" i="68"/>
  <c r="G44" i="68"/>
  <c r="F44" i="68"/>
  <c r="E44" i="68"/>
  <c r="D44" i="68"/>
  <c r="B44" i="68"/>
  <c r="M43" i="68"/>
  <c r="L43" i="68"/>
  <c r="K43" i="68"/>
  <c r="J43" i="68"/>
  <c r="I43" i="68"/>
  <c r="H43" i="68"/>
  <c r="G43" i="68"/>
  <c r="F43" i="68"/>
  <c r="E43" i="68"/>
  <c r="D43" i="68"/>
  <c r="B43" i="68"/>
  <c r="M42" i="68"/>
  <c r="L42" i="68"/>
  <c r="K42" i="68"/>
  <c r="J42" i="68"/>
  <c r="I42" i="68"/>
  <c r="H42" i="68"/>
  <c r="G42" i="68"/>
  <c r="F42" i="68"/>
  <c r="E42" i="68"/>
  <c r="D42" i="68"/>
  <c r="B42" i="68"/>
  <c r="M41" i="68"/>
  <c r="L41" i="68"/>
  <c r="K41" i="68"/>
  <c r="J41" i="68"/>
  <c r="I41" i="68"/>
  <c r="H41" i="68"/>
  <c r="G41" i="68"/>
  <c r="F41" i="68"/>
  <c r="E41" i="68"/>
  <c r="D41" i="68"/>
  <c r="B41" i="68"/>
  <c r="M40" i="68"/>
  <c r="L40" i="68"/>
  <c r="K40" i="68"/>
  <c r="J40" i="68"/>
  <c r="I40" i="68"/>
  <c r="H40" i="68"/>
  <c r="G40" i="68"/>
  <c r="F40" i="68"/>
  <c r="E40" i="68"/>
  <c r="D40" i="68"/>
  <c r="B40" i="68"/>
  <c r="M39" i="68"/>
  <c r="L39" i="68"/>
  <c r="K39" i="68"/>
  <c r="J39" i="68"/>
  <c r="I39" i="68"/>
  <c r="H39" i="68"/>
  <c r="G39" i="68"/>
  <c r="F39" i="68"/>
  <c r="E39" i="68"/>
  <c r="D39" i="68"/>
  <c r="B39" i="68"/>
  <c r="M38" i="68"/>
  <c r="L38" i="68"/>
  <c r="K38" i="68"/>
  <c r="J38" i="68"/>
  <c r="I38" i="68"/>
  <c r="H38" i="68"/>
  <c r="G38" i="68"/>
  <c r="F38" i="68"/>
  <c r="Q38" i="68" s="1"/>
  <c r="E38" i="68"/>
  <c r="D38" i="68"/>
  <c r="B38" i="68"/>
  <c r="M37" i="68"/>
  <c r="L37" i="68"/>
  <c r="K37" i="68"/>
  <c r="J37" i="68"/>
  <c r="I37" i="68"/>
  <c r="H37" i="68"/>
  <c r="G37" i="68"/>
  <c r="F37" i="68"/>
  <c r="E37" i="68"/>
  <c r="D37" i="68"/>
  <c r="B37" i="68"/>
  <c r="M36" i="68"/>
  <c r="L36" i="68"/>
  <c r="K36" i="68"/>
  <c r="J36" i="68"/>
  <c r="I36" i="68"/>
  <c r="H36" i="68"/>
  <c r="G36" i="68"/>
  <c r="F36" i="68"/>
  <c r="E36" i="68"/>
  <c r="D36" i="68"/>
  <c r="B36" i="68"/>
  <c r="M35" i="68"/>
  <c r="L35" i="68"/>
  <c r="K35" i="68"/>
  <c r="J35" i="68"/>
  <c r="I35" i="68"/>
  <c r="H35" i="68"/>
  <c r="G35" i="68"/>
  <c r="F35" i="68"/>
  <c r="Q35" i="68" s="1"/>
  <c r="E35" i="68"/>
  <c r="D35" i="68"/>
  <c r="B35" i="68"/>
  <c r="M34" i="68"/>
  <c r="L34" i="68"/>
  <c r="K34" i="68"/>
  <c r="J34" i="68"/>
  <c r="I34" i="68"/>
  <c r="H34" i="68"/>
  <c r="G34" i="68"/>
  <c r="F34" i="68"/>
  <c r="Q34" i="68" s="1"/>
  <c r="E34" i="68"/>
  <c r="D34" i="68"/>
  <c r="B34" i="68"/>
  <c r="M33" i="68"/>
  <c r="L33" i="68"/>
  <c r="K33" i="68"/>
  <c r="J33" i="68"/>
  <c r="I33" i="68"/>
  <c r="H33" i="68"/>
  <c r="G33" i="68"/>
  <c r="F33" i="68"/>
  <c r="E33" i="68"/>
  <c r="D33" i="68"/>
  <c r="B33" i="68"/>
  <c r="M32" i="68"/>
  <c r="L32" i="68"/>
  <c r="K32" i="68"/>
  <c r="J32" i="68"/>
  <c r="I32" i="68"/>
  <c r="H32" i="68"/>
  <c r="G32" i="68"/>
  <c r="F32" i="68"/>
  <c r="E32" i="68"/>
  <c r="D32" i="68"/>
  <c r="B32" i="68"/>
  <c r="M31" i="68"/>
  <c r="L31" i="68"/>
  <c r="K31" i="68"/>
  <c r="J31" i="68"/>
  <c r="I31" i="68"/>
  <c r="H31" i="68"/>
  <c r="G31" i="68"/>
  <c r="F31" i="68"/>
  <c r="E31" i="68"/>
  <c r="D31" i="68"/>
  <c r="B31" i="68"/>
  <c r="M30" i="68"/>
  <c r="L30" i="68"/>
  <c r="K30" i="68"/>
  <c r="J30" i="68"/>
  <c r="I30" i="68"/>
  <c r="H30" i="68"/>
  <c r="G30" i="68"/>
  <c r="F30" i="68"/>
  <c r="E30" i="68"/>
  <c r="D30" i="68"/>
  <c r="B30" i="68"/>
  <c r="M29" i="68"/>
  <c r="L29" i="68"/>
  <c r="K29" i="68"/>
  <c r="J29" i="68"/>
  <c r="I29" i="68"/>
  <c r="H29" i="68"/>
  <c r="G29" i="68"/>
  <c r="F29" i="68"/>
  <c r="E29" i="68"/>
  <c r="D29" i="68"/>
  <c r="B29" i="68"/>
  <c r="M28" i="68"/>
  <c r="L28" i="68"/>
  <c r="K28" i="68"/>
  <c r="J28" i="68"/>
  <c r="I28" i="68"/>
  <c r="H28" i="68"/>
  <c r="G28" i="68"/>
  <c r="F28" i="68"/>
  <c r="E28" i="68"/>
  <c r="D28" i="68"/>
  <c r="B28" i="68"/>
  <c r="M27" i="68"/>
  <c r="L27" i="68"/>
  <c r="K27" i="68"/>
  <c r="J27" i="68"/>
  <c r="I27" i="68"/>
  <c r="H27" i="68"/>
  <c r="G27" i="68"/>
  <c r="F27" i="68"/>
  <c r="E27" i="68"/>
  <c r="D27" i="68"/>
  <c r="B27" i="68"/>
  <c r="M26" i="68"/>
  <c r="L26" i="68"/>
  <c r="K26" i="68"/>
  <c r="J26" i="68"/>
  <c r="I26" i="68"/>
  <c r="H26" i="68"/>
  <c r="G26" i="68"/>
  <c r="F26" i="68"/>
  <c r="Q26" i="68" s="1"/>
  <c r="E26" i="68"/>
  <c r="D26" i="68"/>
  <c r="B26" i="68"/>
  <c r="M25" i="68"/>
  <c r="L25" i="68"/>
  <c r="K25" i="68"/>
  <c r="J25" i="68"/>
  <c r="I25" i="68"/>
  <c r="H25" i="68"/>
  <c r="G25" i="68"/>
  <c r="F25" i="68"/>
  <c r="E25" i="68"/>
  <c r="D25" i="68"/>
  <c r="B25" i="68"/>
  <c r="M24" i="68"/>
  <c r="L24" i="68"/>
  <c r="K24" i="68"/>
  <c r="J24" i="68"/>
  <c r="I24" i="68"/>
  <c r="H24" i="68"/>
  <c r="G24" i="68"/>
  <c r="F24" i="68"/>
  <c r="E24" i="68"/>
  <c r="D24" i="68"/>
  <c r="B24" i="68"/>
  <c r="M23" i="68"/>
  <c r="L23" i="68"/>
  <c r="K23" i="68"/>
  <c r="J23" i="68"/>
  <c r="I23" i="68"/>
  <c r="H23" i="68"/>
  <c r="G23" i="68"/>
  <c r="F23" i="68"/>
  <c r="Q23" i="68" s="1"/>
  <c r="E23" i="68"/>
  <c r="D23" i="68"/>
  <c r="B23" i="68"/>
  <c r="M22" i="68"/>
  <c r="L22" i="68"/>
  <c r="K22" i="68"/>
  <c r="J22" i="68"/>
  <c r="I22" i="68"/>
  <c r="H22" i="68"/>
  <c r="G22" i="68"/>
  <c r="F22" i="68"/>
  <c r="Q22" i="68" s="1"/>
  <c r="E22" i="68"/>
  <c r="D22" i="68"/>
  <c r="B22" i="68"/>
  <c r="M21" i="68"/>
  <c r="L21" i="68"/>
  <c r="K21" i="68"/>
  <c r="J21" i="68"/>
  <c r="I21" i="68"/>
  <c r="H21" i="68"/>
  <c r="G21" i="68"/>
  <c r="F21" i="68"/>
  <c r="E21" i="68"/>
  <c r="D21" i="68"/>
  <c r="B21" i="68"/>
  <c r="M20" i="68"/>
  <c r="L20" i="68"/>
  <c r="K20" i="68"/>
  <c r="J20" i="68"/>
  <c r="I20" i="68"/>
  <c r="H20" i="68"/>
  <c r="G20" i="68"/>
  <c r="F20" i="68"/>
  <c r="E20" i="68"/>
  <c r="D20" i="68"/>
  <c r="B20" i="68"/>
  <c r="M19" i="68"/>
  <c r="L19" i="68"/>
  <c r="K19" i="68"/>
  <c r="J19" i="68"/>
  <c r="I19" i="68"/>
  <c r="H19" i="68"/>
  <c r="G19" i="68"/>
  <c r="F19" i="68"/>
  <c r="E19" i="68"/>
  <c r="D19" i="68"/>
  <c r="B19" i="68"/>
  <c r="M18" i="68"/>
  <c r="L18" i="68"/>
  <c r="K18" i="68"/>
  <c r="J18" i="68"/>
  <c r="I18" i="68"/>
  <c r="H18" i="68"/>
  <c r="G18" i="68"/>
  <c r="F18" i="68"/>
  <c r="E18" i="68"/>
  <c r="D18" i="68"/>
  <c r="B18" i="68"/>
  <c r="M17" i="68"/>
  <c r="L17" i="68"/>
  <c r="K17" i="68"/>
  <c r="J17" i="68"/>
  <c r="I17" i="68"/>
  <c r="H17" i="68"/>
  <c r="G17" i="68"/>
  <c r="F17" i="68"/>
  <c r="E17" i="68"/>
  <c r="D17" i="68"/>
  <c r="B17" i="68"/>
  <c r="M16" i="68"/>
  <c r="L16" i="68"/>
  <c r="K16" i="68"/>
  <c r="J16" i="68"/>
  <c r="I16" i="68"/>
  <c r="H16" i="68"/>
  <c r="G16" i="68"/>
  <c r="F16" i="68"/>
  <c r="E16" i="68"/>
  <c r="D16" i="68"/>
  <c r="B16" i="68"/>
  <c r="M15" i="68"/>
  <c r="L15" i="68"/>
  <c r="K15" i="68"/>
  <c r="J15" i="68"/>
  <c r="I15" i="68"/>
  <c r="H15" i="68"/>
  <c r="G15" i="68"/>
  <c r="F15" i="68"/>
  <c r="E15" i="68"/>
  <c r="D15" i="68"/>
  <c r="B15" i="68"/>
  <c r="M14" i="68"/>
  <c r="L14" i="68"/>
  <c r="K14" i="68"/>
  <c r="J14" i="68"/>
  <c r="I14" i="68"/>
  <c r="H14" i="68"/>
  <c r="G14" i="68"/>
  <c r="F14" i="68"/>
  <c r="Q14" i="68" s="1"/>
  <c r="E14" i="68"/>
  <c r="D14" i="68"/>
  <c r="B14" i="68"/>
  <c r="M13" i="68"/>
  <c r="L13" i="68"/>
  <c r="K13" i="68"/>
  <c r="J13" i="68"/>
  <c r="I13" i="68"/>
  <c r="H13" i="68"/>
  <c r="G13" i="68"/>
  <c r="F13" i="68"/>
  <c r="E13" i="68"/>
  <c r="D13" i="68"/>
  <c r="B13" i="68"/>
  <c r="M12" i="68"/>
  <c r="L12" i="68"/>
  <c r="K12" i="68"/>
  <c r="J12" i="68"/>
  <c r="I12" i="68"/>
  <c r="H12" i="68"/>
  <c r="G12" i="68"/>
  <c r="F12" i="68"/>
  <c r="E12" i="68"/>
  <c r="D12" i="68"/>
  <c r="B12" i="68"/>
  <c r="M11" i="68"/>
  <c r="L11" i="68"/>
  <c r="K11" i="68"/>
  <c r="J11" i="68"/>
  <c r="I11" i="68"/>
  <c r="H11" i="68"/>
  <c r="G11" i="68"/>
  <c r="F11" i="68"/>
  <c r="E11" i="68"/>
  <c r="D11" i="68"/>
  <c r="B11" i="68"/>
  <c r="O10" i="68"/>
  <c r="O75" i="68" s="1"/>
  <c r="N10" i="68"/>
  <c r="K10" i="68"/>
  <c r="K75" i="68" s="1"/>
  <c r="J10" i="68"/>
  <c r="J75" i="68" s="1"/>
  <c r="I10" i="68"/>
  <c r="H10" i="68"/>
  <c r="E10" i="68"/>
  <c r="E75" i="68" s="1"/>
  <c r="D10" i="68"/>
  <c r="D75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60" i="67"/>
  <c r="M55" i="67"/>
  <c r="L55" i="67"/>
  <c r="K55" i="67"/>
  <c r="J55" i="67"/>
  <c r="I55" i="67"/>
  <c r="H55" i="67"/>
  <c r="G55" i="67"/>
  <c r="F55" i="67"/>
  <c r="E55" i="67"/>
  <c r="D55" i="67"/>
  <c r="Q53" i="67"/>
  <c r="B53" i="67"/>
  <c r="O52" i="67"/>
  <c r="N52" i="67"/>
  <c r="M52" i="67"/>
  <c r="M22" i="67" s="1"/>
  <c r="L52" i="67"/>
  <c r="K52" i="67"/>
  <c r="J52" i="67"/>
  <c r="I52" i="67"/>
  <c r="H52" i="67"/>
  <c r="G52" i="67"/>
  <c r="G22" i="67" s="1"/>
  <c r="F52" i="67"/>
  <c r="E52" i="67"/>
  <c r="D52" i="67"/>
  <c r="B52" i="67"/>
  <c r="Q51" i="67"/>
  <c r="B51" i="67"/>
  <c r="O50" i="67"/>
  <c r="N50" i="67"/>
  <c r="M50" i="67"/>
  <c r="L50" i="67"/>
  <c r="K50" i="67"/>
  <c r="J50" i="67"/>
  <c r="I50" i="67"/>
  <c r="H50" i="67"/>
  <c r="G50" i="67"/>
  <c r="F50" i="67"/>
  <c r="E50" i="67"/>
  <c r="D50" i="67"/>
  <c r="Q50" i="67" s="1"/>
  <c r="B50" i="67"/>
  <c r="Q49" i="67"/>
  <c r="B49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B48" i="67"/>
  <c r="Q47" i="67"/>
  <c r="B47" i="67"/>
  <c r="O46" i="67"/>
  <c r="N46" i="67"/>
  <c r="M46" i="67"/>
  <c r="L46" i="67"/>
  <c r="L22" i="67" s="1"/>
  <c r="K46" i="67"/>
  <c r="J46" i="67"/>
  <c r="I46" i="67"/>
  <c r="H46" i="67"/>
  <c r="G46" i="67"/>
  <c r="F46" i="67"/>
  <c r="F22" i="67" s="1"/>
  <c r="E46" i="67"/>
  <c r="D46" i="67"/>
  <c r="B46" i="67"/>
  <c r="Q45" i="67"/>
  <c r="B45" i="67"/>
  <c r="O44" i="67"/>
  <c r="N44" i="67"/>
  <c r="M44" i="67"/>
  <c r="L44" i="67"/>
  <c r="K44" i="67"/>
  <c r="J44" i="67"/>
  <c r="I44" i="67"/>
  <c r="H44" i="67"/>
  <c r="G44" i="67"/>
  <c r="F44" i="67"/>
  <c r="E44" i="67"/>
  <c r="D44" i="67"/>
  <c r="Q44" i="67" s="1"/>
  <c r="B44" i="67"/>
  <c r="Q43" i="67"/>
  <c r="B43" i="67"/>
  <c r="Q42" i="67"/>
  <c r="B42" i="67"/>
  <c r="Q41" i="67"/>
  <c r="B41" i="67"/>
  <c r="Q40" i="67"/>
  <c r="B40" i="67"/>
  <c r="Q39" i="67"/>
  <c r="B39" i="67"/>
  <c r="Q38" i="67"/>
  <c r="B38" i="67"/>
  <c r="Q37" i="67"/>
  <c r="B37" i="67"/>
  <c r="Q36" i="67"/>
  <c r="B36" i="67"/>
  <c r="Q35" i="67"/>
  <c r="B35" i="67"/>
  <c r="Q34" i="67"/>
  <c r="B34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B23" i="67"/>
  <c r="O22" i="67"/>
  <c r="N20" i="67"/>
  <c r="O19" i="67"/>
  <c r="N19" i="67"/>
  <c r="Q17" i="67"/>
  <c r="Q16" i="67" s="1"/>
  <c r="B17" i="67"/>
  <c r="O16" i="67"/>
  <c r="N16" i="67"/>
  <c r="M16" i="67"/>
  <c r="L16" i="67"/>
  <c r="K16" i="67"/>
  <c r="J16" i="67"/>
  <c r="I16" i="67"/>
  <c r="H16" i="67"/>
  <c r="H19" i="67" s="1"/>
  <c r="G16" i="67"/>
  <c r="F16" i="67"/>
  <c r="E16" i="67"/>
  <c r="D16" i="67"/>
  <c r="M14" i="67"/>
  <c r="L14" i="67"/>
  <c r="K14" i="67"/>
  <c r="J14" i="67"/>
  <c r="I14" i="67"/>
  <c r="H14" i="67"/>
  <c r="G14" i="67"/>
  <c r="F14" i="67"/>
  <c r="E14" i="67"/>
  <c r="D14" i="67"/>
  <c r="Q14" i="67" s="1"/>
  <c r="B14" i="67"/>
  <c r="M13" i="67"/>
  <c r="L13" i="67"/>
  <c r="K13" i="67"/>
  <c r="J13" i="67"/>
  <c r="I13" i="67"/>
  <c r="H13" i="67"/>
  <c r="G13" i="67"/>
  <c r="F13" i="67"/>
  <c r="E13" i="67"/>
  <c r="D13" i="67"/>
  <c r="Q13" i="67" s="1"/>
  <c r="B13" i="67"/>
  <c r="M12" i="67"/>
  <c r="L12" i="67"/>
  <c r="K12" i="67"/>
  <c r="J12" i="67"/>
  <c r="I12" i="67"/>
  <c r="H12" i="67"/>
  <c r="G12" i="67"/>
  <c r="F12" i="67"/>
  <c r="E12" i="67"/>
  <c r="D12" i="67"/>
  <c r="B12" i="67"/>
  <c r="M11" i="67"/>
  <c r="L11" i="67"/>
  <c r="K11" i="67"/>
  <c r="J11" i="67"/>
  <c r="I11" i="67"/>
  <c r="H11" i="67"/>
  <c r="G11" i="67"/>
  <c r="G10" i="67" s="1"/>
  <c r="G19" i="67" s="1"/>
  <c r="F11" i="67"/>
  <c r="E11" i="67"/>
  <c r="D11" i="67"/>
  <c r="B11" i="67"/>
  <c r="O10" i="67"/>
  <c r="N10" i="67"/>
  <c r="M10" i="67"/>
  <c r="M19" i="67" s="1"/>
  <c r="L10" i="67"/>
  <c r="I10" i="67"/>
  <c r="I19" i="67" s="1"/>
  <c r="H10" i="67"/>
  <c r="F10" i="67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117" i="66"/>
  <c r="M112" i="66"/>
  <c r="L112" i="66"/>
  <c r="K112" i="66"/>
  <c r="J112" i="66"/>
  <c r="I112" i="66"/>
  <c r="H112" i="66"/>
  <c r="G112" i="66"/>
  <c r="F112" i="66"/>
  <c r="E112" i="66"/>
  <c r="D112" i="66"/>
  <c r="Q110" i="66"/>
  <c r="B110" i="66"/>
  <c r="O109" i="66"/>
  <c r="N109" i="66"/>
  <c r="M109" i="66"/>
  <c r="L109" i="66"/>
  <c r="K109" i="66"/>
  <c r="J109" i="66"/>
  <c r="I109" i="66"/>
  <c r="H109" i="66"/>
  <c r="G109" i="66"/>
  <c r="F109" i="66"/>
  <c r="E109" i="66"/>
  <c r="D109" i="66"/>
  <c r="Q109" i="66" s="1"/>
  <c r="B109" i="66"/>
  <c r="Q108" i="66"/>
  <c r="B108" i="66"/>
  <c r="Q107" i="66"/>
  <c r="B107" i="66"/>
  <c r="O106" i="66"/>
  <c r="N106" i="66"/>
  <c r="M106" i="66"/>
  <c r="L106" i="66"/>
  <c r="K106" i="66"/>
  <c r="J106" i="66"/>
  <c r="I106" i="66"/>
  <c r="H106" i="66"/>
  <c r="G106" i="66"/>
  <c r="F106" i="66"/>
  <c r="E106" i="66"/>
  <c r="E55" i="66" s="1"/>
  <c r="D106" i="66"/>
  <c r="D55" i="66" s="1"/>
  <c r="B106" i="66"/>
  <c r="Q105" i="66"/>
  <c r="B105" i="66"/>
  <c r="Q104" i="66"/>
  <c r="B104" i="66"/>
  <c r="Q103" i="66"/>
  <c r="B103" i="66"/>
  <c r="O102" i="66"/>
  <c r="N102" i="66"/>
  <c r="M102" i="66"/>
  <c r="L102" i="66"/>
  <c r="K102" i="66"/>
  <c r="J102" i="66"/>
  <c r="I102" i="66"/>
  <c r="H102" i="66"/>
  <c r="G102" i="66"/>
  <c r="F102" i="66"/>
  <c r="E102" i="66"/>
  <c r="D102" i="66"/>
  <c r="B102" i="66"/>
  <c r="Q101" i="66"/>
  <c r="B101" i="66"/>
  <c r="Q100" i="66"/>
  <c r="B100" i="66"/>
  <c r="O99" i="66"/>
  <c r="N99" i="66"/>
  <c r="M99" i="66"/>
  <c r="L99" i="66"/>
  <c r="K99" i="66"/>
  <c r="J99" i="66"/>
  <c r="I99" i="66"/>
  <c r="H99" i="66"/>
  <c r="G99" i="66"/>
  <c r="F99" i="66"/>
  <c r="E99" i="66"/>
  <c r="D99" i="66"/>
  <c r="B99" i="66"/>
  <c r="Q98" i="66"/>
  <c r="B98" i="66"/>
  <c r="Q97" i="66"/>
  <c r="B97" i="66"/>
  <c r="Q96" i="66"/>
  <c r="B96" i="66"/>
  <c r="O95" i="66"/>
  <c r="N95" i="66"/>
  <c r="M95" i="66"/>
  <c r="L95" i="66"/>
  <c r="K95" i="66"/>
  <c r="J95" i="66"/>
  <c r="I95" i="66"/>
  <c r="H95" i="66"/>
  <c r="G95" i="66"/>
  <c r="F95" i="66"/>
  <c r="E95" i="66"/>
  <c r="D95" i="66"/>
  <c r="B95" i="66"/>
  <c r="Q94" i="66"/>
  <c r="B94" i="66"/>
  <c r="O93" i="66"/>
  <c r="N93" i="66"/>
  <c r="M93" i="66"/>
  <c r="L93" i="66"/>
  <c r="K93" i="66"/>
  <c r="J93" i="66"/>
  <c r="I93" i="66"/>
  <c r="H93" i="66"/>
  <c r="G93" i="66"/>
  <c r="F93" i="66"/>
  <c r="E93" i="66"/>
  <c r="D93" i="66"/>
  <c r="Q93" i="66" s="1"/>
  <c r="B93" i="66"/>
  <c r="Q92" i="66"/>
  <c r="B92" i="66"/>
  <c r="Q91" i="66"/>
  <c r="B91" i="66"/>
  <c r="O90" i="66"/>
  <c r="N90" i="66"/>
  <c r="M90" i="66"/>
  <c r="L90" i="66"/>
  <c r="K90" i="66"/>
  <c r="J90" i="66"/>
  <c r="I90" i="66"/>
  <c r="H90" i="66"/>
  <c r="G90" i="66"/>
  <c r="F90" i="66"/>
  <c r="E90" i="66"/>
  <c r="D90" i="66"/>
  <c r="Q90" i="66" s="1"/>
  <c r="B90" i="66"/>
  <c r="Q89" i="66"/>
  <c r="B89" i="66"/>
  <c r="Q88" i="66"/>
  <c r="B88" i="66"/>
  <c r="O87" i="66"/>
  <c r="N87" i="66"/>
  <c r="M87" i="66"/>
  <c r="L87" i="66"/>
  <c r="K87" i="66"/>
  <c r="J87" i="66"/>
  <c r="I87" i="66"/>
  <c r="H87" i="66"/>
  <c r="G87" i="66"/>
  <c r="F87" i="66"/>
  <c r="E87" i="66"/>
  <c r="D87" i="66"/>
  <c r="B87" i="66"/>
  <c r="Q86" i="66"/>
  <c r="B86" i="66"/>
  <c r="O85" i="66"/>
  <c r="N85" i="66"/>
  <c r="M85" i="66"/>
  <c r="L85" i="66"/>
  <c r="K85" i="66"/>
  <c r="K55" i="66" s="1"/>
  <c r="J85" i="66"/>
  <c r="J55" i="66" s="1"/>
  <c r="I85" i="66"/>
  <c r="H85" i="66"/>
  <c r="G85" i="66"/>
  <c r="F85" i="66"/>
  <c r="E85" i="66"/>
  <c r="D85" i="66"/>
  <c r="B85" i="66"/>
  <c r="Q84" i="66"/>
  <c r="B84" i="66"/>
  <c r="O83" i="66"/>
  <c r="N83" i="66"/>
  <c r="M83" i="66"/>
  <c r="L83" i="66"/>
  <c r="K83" i="66"/>
  <c r="J83" i="66"/>
  <c r="I83" i="66"/>
  <c r="H83" i="66"/>
  <c r="G83" i="66"/>
  <c r="F83" i="66"/>
  <c r="E83" i="66"/>
  <c r="D83" i="66"/>
  <c r="B83" i="66"/>
  <c r="Q82" i="66"/>
  <c r="B82" i="66"/>
  <c r="Q81" i="66"/>
  <c r="B81" i="66"/>
  <c r="O80" i="66"/>
  <c r="N80" i="66"/>
  <c r="M80" i="66"/>
  <c r="L80" i="66"/>
  <c r="K80" i="66"/>
  <c r="J80" i="66"/>
  <c r="I80" i="66"/>
  <c r="H80" i="66"/>
  <c r="G80" i="66"/>
  <c r="F80" i="66"/>
  <c r="E80" i="66"/>
  <c r="D80" i="66"/>
  <c r="B80" i="66"/>
  <c r="Q79" i="66"/>
  <c r="B79" i="66"/>
  <c r="O78" i="66"/>
  <c r="N78" i="66"/>
  <c r="M78" i="66"/>
  <c r="L78" i="66"/>
  <c r="L55" i="66" s="1"/>
  <c r="K78" i="66"/>
  <c r="J78" i="66"/>
  <c r="I78" i="66"/>
  <c r="H78" i="66"/>
  <c r="G78" i="66"/>
  <c r="F78" i="66"/>
  <c r="E78" i="66"/>
  <c r="D78" i="66"/>
  <c r="B78" i="66"/>
  <c r="Q77" i="66"/>
  <c r="B77" i="66"/>
  <c r="Q76" i="66"/>
  <c r="B76" i="66"/>
  <c r="Q75" i="66"/>
  <c r="B75" i="66"/>
  <c r="Q74" i="66"/>
  <c r="B74" i="66"/>
  <c r="Q73" i="66"/>
  <c r="B73" i="66"/>
  <c r="Q72" i="66"/>
  <c r="B72" i="66"/>
  <c r="Q71" i="66"/>
  <c r="B71" i="66"/>
  <c r="Q70" i="66"/>
  <c r="B70" i="66"/>
  <c r="Q69" i="66"/>
  <c r="B69" i="66"/>
  <c r="Q68" i="66"/>
  <c r="B68" i="66"/>
  <c r="O67" i="66"/>
  <c r="N67" i="66"/>
  <c r="M67" i="66"/>
  <c r="L67" i="66"/>
  <c r="K67" i="66"/>
  <c r="J67" i="66"/>
  <c r="I67" i="66"/>
  <c r="H67" i="66"/>
  <c r="G67" i="66"/>
  <c r="F67" i="66"/>
  <c r="E67" i="66"/>
  <c r="D67" i="66"/>
  <c r="B67" i="66"/>
  <c r="Q66" i="66"/>
  <c r="B66" i="66"/>
  <c r="Q65" i="66"/>
  <c r="B65" i="66"/>
  <c r="Q64" i="66"/>
  <c r="B64" i="66"/>
  <c r="Q63" i="66"/>
  <c r="B63" i="66"/>
  <c r="Q62" i="66"/>
  <c r="B62" i="66"/>
  <c r="Q61" i="66"/>
  <c r="B61" i="66"/>
  <c r="Q60" i="66"/>
  <c r="B60" i="66"/>
  <c r="Q59" i="66"/>
  <c r="B59" i="66"/>
  <c r="Q58" i="66"/>
  <c r="B58" i="66"/>
  <c r="Q57" i="66"/>
  <c r="B57" i="66"/>
  <c r="O56" i="66"/>
  <c r="N56" i="66"/>
  <c r="M56" i="66"/>
  <c r="L56" i="66"/>
  <c r="K56" i="66"/>
  <c r="J56" i="66"/>
  <c r="I56" i="66"/>
  <c r="I55" i="66" s="1"/>
  <c r="H56" i="66"/>
  <c r="G56" i="66"/>
  <c r="F56" i="66"/>
  <c r="E56" i="66"/>
  <c r="D56" i="66"/>
  <c r="Q56" i="66" s="1"/>
  <c r="B56" i="66"/>
  <c r="L53" i="66"/>
  <c r="F53" i="66"/>
  <c r="L52" i="66"/>
  <c r="G52" i="66"/>
  <c r="F52" i="66"/>
  <c r="Q50" i="66"/>
  <c r="B50" i="66"/>
  <c r="Q49" i="66"/>
  <c r="B49" i="66"/>
  <c r="Q48" i="66"/>
  <c r="B48" i="66"/>
  <c r="Q47" i="66"/>
  <c r="B47" i="66"/>
  <c r="Q46" i="66"/>
  <c r="B46" i="66"/>
  <c r="Q45" i="66"/>
  <c r="B45" i="66"/>
  <c r="Q44" i="66"/>
  <c r="B44" i="66"/>
  <c r="Q43" i="66"/>
  <c r="B43" i="66"/>
  <c r="Q42" i="66"/>
  <c r="B42" i="66"/>
  <c r="Q41" i="66"/>
  <c r="B41" i="66"/>
  <c r="Q40" i="66"/>
  <c r="B40" i="66"/>
  <c r="Q39" i="66"/>
  <c r="B39" i="66"/>
  <c r="Q38" i="66"/>
  <c r="B38" i="66"/>
  <c r="Q37" i="66"/>
  <c r="Q34" i="66" s="1"/>
  <c r="B37" i="66"/>
  <c r="Q36" i="66"/>
  <c r="B36" i="66"/>
  <c r="Q35" i="66"/>
  <c r="B35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M32" i="66"/>
  <c r="L32" i="66"/>
  <c r="K32" i="66"/>
  <c r="J32" i="66"/>
  <c r="I32" i="66"/>
  <c r="H32" i="66"/>
  <c r="G32" i="66"/>
  <c r="F32" i="66"/>
  <c r="E32" i="66"/>
  <c r="D32" i="66"/>
  <c r="B32" i="66"/>
  <c r="M31" i="66"/>
  <c r="L31" i="66"/>
  <c r="K31" i="66"/>
  <c r="J31" i="66"/>
  <c r="I31" i="66"/>
  <c r="H31" i="66"/>
  <c r="Q31" i="66" s="1"/>
  <c r="G31" i="66"/>
  <c r="F31" i="66"/>
  <c r="E31" i="66"/>
  <c r="D31" i="66"/>
  <c r="B31" i="66"/>
  <c r="M30" i="66"/>
  <c r="L30" i="66"/>
  <c r="K30" i="66"/>
  <c r="J30" i="66"/>
  <c r="I30" i="66"/>
  <c r="H30" i="66"/>
  <c r="Q30" i="66" s="1"/>
  <c r="G30" i="66"/>
  <c r="F30" i="66"/>
  <c r="E30" i="66"/>
  <c r="D30" i="66"/>
  <c r="B30" i="66"/>
  <c r="M29" i="66"/>
  <c r="L29" i="66"/>
  <c r="K29" i="66"/>
  <c r="J29" i="66"/>
  <c r="I29" i="66"/>
  <c r="H29" i="66"/>
  <c r="G29" i="66"/>
  <c r="F29" i="66"/>
  <c r="E29" i="66"/>
  <c r="D29" i="66"/>
  <c r="B29" i="66"/>
  <c r="M28" i="66"/>
  <c r="L28" i="66"/>
  <c r="K28" i="66"/>
  <c r="J28" i="66"/>
  <c r="I28" i="66"/>
  <c r="H28" i="66"/>
  <c r="G28" i="66"/>
  <c r="F28" i="66"/>
  <c r="E28" i="66"/>
  <c r="D28" i="66"/>
  <c r="B28" i="66"/>
  <c r="M27" i="66"/>
  <c r="L27" i="66"/>
  <c r="K27" i="66"/>
  <c r="J27" i="66"/>
  <c r="I27" i="66"/>
  <c r="H27" i="66"/>
  <c r="Q27" i="66" s="1"/>
  <c r="G27" i="66"/>
  <c r="F27" i="66"/>
  <c r="E27" i="66"/>
  <c r="D27" i="66"/>
  <c r="B27" i="66"/>
  <c r="M26" i="66"/>
  <c r="L26" i="66"/>
  <c r="K26" i="66"/>
  <c r="J26" i="66"/>
  <c r="I26" i="66"/>
  <c r="H26" i="66"/>
  <c r="G26" i="66"/>
  <c r="F26" i="66"/>
  <c r="E26" i="66"/>
  <c r="D26" i="66"/>
  <c r="B26" i="66"/>
  <c r="M25" i="66"/>
  <c r="L25" i="66"/>
  <c r="K25" i="66"/>
  <c r="J25" i="66"/>
  <c r="I25" i="66"/>
  <c r="H25" i="66"/>
  <c r="Q25" i="66" s="1"/>
  <c r="G25" i="66"/>
  <c r="F25" i="66"/>
  <c r="E25" i="66"/>
  <c r="D25" i="66"/>
  <c r="B25" i="66"/>
  <c r="M24" i="66"/>
  <c r="L24" i="66"/>
  <c r="K24" i="66"/>
  <c r="J24" i="66"/>
  <c r="I24" i="66"/>
  <c r="H24" i="66"/>
  <c r="Q24" i="66" s="1"/>
  <c r="G24" i="66"/>
  <c r="F24" i="66"/>
  <c r="E24" i="66"/>
  <c r="D24" i="66"/>
  <c r="B24" i="66"/>
  <c r="M23" i="66"/>
  <c r="L23" i="66"/>
  <c r="K23" i="66"/>
  <c r="J23" i="66"/>
  <c r="I23" i="66"/>
  <c r="H23" i="66"/>
  <c r="G23" i="66"/>
  <c r="F23" i="66"/>
  <c r="E23" i="66"/>
  <c r="D23" i="66"/>
  <c r="B23" i="66"/>
  <c r="M22" i="66"/>
  <c r="L22" i="66"/>
  <c r="K22" i="66"/>
  <c r="J22" i="66"/>
  <c r="I22" i="66"/>
  <c r="H22" i="66"/>
  <c r="G22" i="66"/>
  <c r="F22" i="66"/>
  <c r="E22" i="66"/>
  <c r="D22" i="66"/>
  <c r="B22" i="66"/>
  <c r="M21" i="66"/>
  <c r="L21" i="66"/>
  <c r="K21" i="66"/>
  <c r="J21" i="66"/>
  <c r="I21" i="66"/>
  <c r="H21" i="66"/>
  <c r="G21" i="66"/>
  <c r="F21" i="66"/>
  <c r="E21" i="66"/>
  <c r="D21" i="66"/>
  <c r="B21" i="66"/>
  <c r="M20" i="66"/>
  <c r="L20" i="66"/>
  <c r="K20" i="66"/>
  <c r="J20" i="66"/>
  <c r="I20" i="66"/>
  <c r="H20" i="66"/>
  <c r="G20" i="66"/>
  <c r="F20" i="66"/>
  <c r="E20" i="66"/>
  <c r="D20" i="66"/>
  <c r="B20" i="66"/>
  <c r="M19" i="66"/>
  <c r="L19" i="66"/>
  <c r="K19" i="66"/>
  <c r="J19" i="66"/>
  <c r="I19" i="66"/>
  <c r="H19" i="66"/>
  <c r="Q19" i="66" s="1"/>
  <c r="G19" i="66"/>
  <c r="F19" i="66"/>
  <c r="E19" i="66"/>
  <c r="D19" i="66"/>
  <c r="B19" i="66"/>
  <c r="M18" i="66"/>
  <c r="L18" i="66"/>
  <c r="K18" i="66"/>
  <c r="J18" i="66"/>
  <c r="I18" i="66"/>
  <c r="H18" i="66"/>
  <c r="Q18" i="66" s="1"/>
  <c r="G18" i="66"/>
  <c r="F18" i="66"/>
  <c r="E18" i="66"/>
  <c r="D18" i="66"/>
  <c r="B18" i="66"/>
  <c r="M17" i="66"/>
  <c r="L17" i="66"/>
  <c r="K17" i="66"/>
  <c r="J17" i="66"/>
  <c r="I17" i="66"/>
  <c r="H17" i="66"/>
  <c r="G17" i="66"/>
  <c r="F17" i="66"/>
  <c r="E17" i="66"/>
  <c r="D17" i="66"/>
  <c r="B17" i="66"/>
  <c r="M16" i="66"/>
  <c r="L16" i="66"/>
  <c r="K16" i="66"/>
  <c r="J16" i="66"/>
  <c r="I16" i="66"/>
  <c r="H16" i="66"/>
  <c r="G16" i="66"/>
  <c r="F16" i="66"/>
  <c r="E16" i="66"/>
  <c r="D16" i="66"/>
  <c r="B16" i="66"/>
  <c r="M15" i="66"/>
  <c r="L15" i="66"/>
  <c r="K15" i="66"/>
  <c r="J15" i="66"/>
  <c r="I15" i="66"/>
  <c r="H15" i="66"/>
  <c r="Q15" i="66" s="1"/>
  <c r="G15" i="66"/>
  <c r="F15" i="66"/>
  <c r="E15" i="66"/>
  <c r="D15" i="66"/>
  <c r="B15" i="66"/>
  <c r="M14" i="66"/>
  <c r="L14" i="66"/>
  <c r="K14" i="66"/>
  <c r="J14" i="66"/>
  <c r="I14" i="66"/>
  <c r="H14" i="66"/>
  <c r="G14" i="66"/>
  <c r="F14" i="66"/>
  <c r="E14" i="66"/>
  <c r="D14" i="66"/>
  <c r="B14" i="66"/>
  <c r="M13" i="66"/>
  <c r="L13" i="66"/>
  <c r="K13" i="66"/>
  <c r="J13" i="66"/>
  <c r="I13" i="66"/>
  <c r="H13" i="66"/>
  <c r="Q13" i="66" s="1"/>
  <c r="G13" i="66"/>
  <c r="F13" i="66"/>
  <c r="E13" i="66"/>
  <c r="D13" i="66"/>
  <c r="B13" i="66"/>
  <c r="M12" i="66"/>
  <c r="L12" i="66"/>
  <c r="K12" i="66"/>
  <c r="J12" i="66"/>
  <c r="I12" i="66"/>
  <c r="H12" i="66"/>
  <c r="Q12" i="66" s="1"/>
  <c r="G12" i="66"/>
  <c r="F12" i="66"/>
  <c r="E12" i="66"/>
  <c r="D12" i="66"/>
  <c r="B12" i="66"/>
  <c r="M11" i="66"/>
  <c r="M10" i="66" s="1"/>
  <c r="M52" i="66" s="1"/>
  <c r="L11" i="66"/>
  <c r="K11" i="66"/>
  <c r="J11" i="66"/>
  <c r="I11" i="66"/>
  <c r="H11" i="66"/>
  <c r="G11" i="66"/>
  <c r="F11" i="66"/>
  <c r="E11" i="66"/>
  <c r="D11" i="66"/>
  <c r="B11" i="66"/>
  <c r="O10" i="66"/>
  <c r="O52" i="66" s="1"/>
  <c r="N10" i="66"/>
  <c r="N52" i="66" s="1"/>
  <c r="L10" i="66"/>
  <c r="K10" i="66"/>
  <c r="K52" i="66" s="1"/>
  <c r="J10" i="66"/>
  <c r="G10" i="66"/>
  <c r="F10" i="66"/>
  <c r="E10" i="66"/>
  <c r="E52" i="66" s="1"/>
  <c r="D10" i="66"/>
  <c r="D52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67" i="65"/>
  <c r="M62" i="65"/>
  <c r="L62" i="65"/>
  <c r="K62" i="65"/>
  <c r="J62" i="65"/>
  <c r="I62" i="65"/>
  <c r="H62" i="65"/>
  <c r="G62" i="65"/>
  <c r="F62" i="65"/>
  <c r="E62" i="65"/>
  <c r="Q62" i="65" s="1"/>
  <c r="D62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B59" i="65"/>
  <c r="Q58" i="65"/>
  <c r="B58" i="65"/>
  <c r="Q57" i="65"/>
  <c r="B57" i="65"/>
  <c r="O56" i="65"/>
  <c r="N56" i="65"/>
  <c r="M56" i="65"/>
  <c r="L56" i="65"/>
  <c r="K56" i="65"/>
  <c r="J56" i="65"/>
  <c r="I56" i="65"/>
  <c r="H56" i="65"/>
  <c r="G56" i="65"/>
  <c r="F56" i="65"/>
  <c r="E56" i="65"/>
  <c r="D56" i="65"/>
  <c r="Q56" i="65" s="1"/>
  <c r="B56" i="65"/>
  <c r="Q55" i="65"/>
  <c r="B55" i="65"/>
  <c r="Q54" i="65"/>
  <c r="B54" i="65"/>
  <c r="O53" i="65"/>
  <c r="N53" i="65"/>
  <c r="M53" i="65"/>
  <c r="L53" i="65"/>
  <c r="K53" i="65"/>
  <c r="J53" i="65"/>
  <c r="I53" i="65"/>
  <c r="H53" i="65"/>
  <c r="G53" i="65"/>
  <c r="F53" i="65"/>
  <c r="E53" i="65"/>
  <c r="D53" i="65"/>
  <c r="B53" i="65"/>
  <c r="Q52" i="65"/>
  <c r="B52" i="65"/>
  <c r="Q51" i="65"/>
  <c r="B51" i="65"/>
  <c r="O50" i="65"/>
  <c r="N50" i="65"/>
  <c r="M50" i="65"/>
  <c r="L50" i="65"/>
  <c r="K50" i="65"/>
  <c r="J50" i="65"/>
  <c r="I50" i="65"/>
  <c r="H50" i="65"/>
  <c r="G50" i="65"/>
  <c r="F50" i="65"/>
  <c r="E50" i="65"/>
  <c r="D50" i="65"/>
  <c r="Q50" i="65" s="1"/>
  <c r="B50" i="65"/>
  <c r="Q49" i="65"/>
  <c r="B49" i="65"/>
  <c r="O48" i="65"/>
  <c r="N48" i="65"/>
  <c r="M48" i="65"/>
  <c r="L48" i="65"/>
  <c r="K48" i="65"/>
  <c r="J48" i="65"/>
  <c r="I48" i="65"/>
  <c r="H48" i="65"/>
  <c r="G48" i="65"/>
  <c r="F48" i="65"/>
  <c r="E48" i="65"/>
  <c r="D48" i="65"/>
  <c r="B48" i="65"/>
  <c r="Q47" i="65"/>
  <c r="B47" i="65"/>
  <c r="O46" i="65"/>
  <c r="N46" i="65"/>
  <c r="M46" i="65"/>
  <c r="L46" i="65"/>
  <c r="K46" i="65"/>
  <c r="J46" i="65"/>
  <c r="I46" i="65"/>
  <c r="H46" i="65"/>
  <c r="G46" i="65"/>
  <c r="F46" i="65"/>
  <c r="E46" i="65"/>
  <c r="D46" i="65"/>
  <c r="B46" i="65"/>
  <c r="Q45" i="65"/>
  <c r="B45" i="65"/>
  <c r="O44" i="65"/>
  <c r="N44" i="65"/>
  <c r="M44" i="65"/>
  <c r="L44" i="65"/>
  <c r="K44" i="65"/>
  <c r="J44" i="65"/>
  <c r="I44" i="65"/>
  <c r="H44" i="65"/>
  <c r="G44" i="65"/>
  <c r="F44" i="65"/>
  <c r="E44" i="65"/>
  <c r="D44" i="65"/>
  <c r="B44" i="65"/>
  <c r="Q43" i="65"/>
  <c r="B43" i="65"/>
  <c r="O42" i="65"/>
  <c r="N42" i="65"/>
  <c r="M42" i="65"/>
  <c r="M19" i="65" s="1"/>
  <c r="L42" i="65"/>
  <c r="L19" i="65" s="1"/>
  <c r="K42" i="65"/>
  <c r="J42" i="65"/>
  <c r="I42" i="65"/>
  <c r="H42" i="65"/>
  <c r="G42" i="65"/>
  <c r="F42" i="65"/>
  <c r="E42" i="65"/>
  <c r="D42" i="65"/>
  <c r="Q42" i="65" s="1"/>
  <c r="B42" i="65"/>
  <c r="Q41" i="65"/>
  <c r="B41" i="65"/>
  <c r="O40" i="65"/>
  <c r="N40" i="65"/>
  <c r="M40" i="65"/>
  <c r="L40" i="65"/>
  <c r="K40" i="65"/>
  <c r="J40" i="65"/>
  <c r="I40" i="65"/>
  <c r="H40" i="65"/>
  <c r="G40" i="65"/>
  <c r="F40" i="65"/>
  <c r="E40" i="65"/>
  <c r="D40" i="65"/>
  <c r="Q40" i="65" s="1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Q33" i="65"/>
  <c r="B33" i="65"/>
  <c r="Q32" i="65"/>
  <c r="B32" i="65"/>
  <c r="Q31" i="65"/>
  <c r="B31" i="65"/>
  <c r="Q30" i="65"/>
  <c r="B30" i="65"/>
  <c r="O29" i="65"/>
  <c r="N29" i="65"/>
  <c r="M29" i="65"/>
  <c r="L29" i="65"/>
  <c r="K29" i="65"/>
  <c r="J29" i="65"/>
  <c r="I29" i="65"/>
  <c r="H29" i="65"/>
  <c r="G29" i="65"/>
  <c r="F29" i="65"/>
  <c r="E29" i="65"/>
  <c r="D29" i="65"/>
  <c r="Q29" i="65" s="1"/>
  <c r="B29" i="65"/>
  <c r="Q28" i="65"/>
  <c r="B28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O20" i="65"/>
  <c r="N20" i="65"/>
  <c r="M20" i="65"/>
  <c r="L20" i="65"/>
  <c r="K20" i="65"/>
  <c r="J20" i="65"/>
  <c r="I20" i="65"/>
  <c r="I19" i="65" s="1"/>
  <c r="H20" i="65"/>
  <c r="H19" i="65" s="1"/>
  <c r="G20" i="65"/>
  <c r="F20" i="65"/>
  <c r="E20" i="65"/>
  <c r="D20" i="65"/>
  <c r="B20" i="65"/>
  <c r="E19" i="65"/>
  <c r="D19" i="65"/>
  <c r="L17" i="65"/>
  <c r="F17" i="65"/>
  <c r="E17" i="65"/>
  <c r="M16" i="65"/>
  <c r="M17" i="65" s="1"/>
  <c r="L16" i="65"/>
  <c r="L64" i="65" s="1"/>
  <c r="G16" i="65"/>
  <c r="G17" i="65" s="1"/>
  <c r="F16" i="65"/>
  <c r="Q14" i="65"/>
  <c r="B14" i="65"/>
  <c r="Q13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M11" i="65"/>
  <c r="L11" i="65"/>
  <c r="K11" i="65"/>
  <c r="J11" i="65"/>
  <c r="I11" i="65"/>
  <c r="I10" i="65" s="1"/>
  <c r="I16" i="65" s="1"/>
  <c r="H11" i="65"/>
  <c r="G11" i="65"/>
  <c r="F11" i="65"/>
  <c r="E11" i="65"/>
  <c r="D11" i="65"/>
  <c r="B11" i="65"/>
  <c r="O10" i="65"/>
  <c r="O16" i="65" s="1"/>
  <c r="N10" i="65"/>
  <c r="N16" i="65" s="1"/>
  <c r="M10" i="65"/>
  <c r="L10" i="65"/>
  <c r="K10" i="65"/>
  <c r="K16" i="65" s="1"/>
  <c r="J10" i="65"/>
  <c r="J16" i="65" s="1"/>
  <c r="G10" i="65"/>
  <c r="F10" i="65"/>
  <c r="E10" i="65"/>
  <c r="E16" i="65" s="1"/>
  <c r="E64" i="65" s="1"/>
  <c r="E69" i="65" s="1"/>
  <c r="D10" i="65"/>
  <c r="D16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92" i="64"/>
  <c r="M87" i="64"/>
  <c r="L87" i="64"/>
  <c r="K87" i="64"/>
  <c r="J87" i="64"/>
  <c r="I87" i="64"/>
  <c r="H87" i="64"/>
  <c r="G87" i="64"/>
  <c r="F87" i="64"/>
  <c r="E87" i="64"/>
  <c r="D87" i="64"/>
  <c r="Q85" i="64"/>
  <c r="B85" i="64"/>
  <c r="O84" i="64"/>
  <c r="N84" i="64"/>
  <c r="M84" i="64"/>
  <c r="L84" i="64"/>
  <c r="K84" i="64"/>
  <c r="J84" i="64"/>
  <c r="I84" i="64"/>
  <c r="H84" i="64"/>
  <c r="G84" i="64"/>
  <c r="F84" i="64"/>
  <c r="E84" i="64"/>
  <c r="D84" i="64"/>
  <c r="B84" i="64"/>
  <c r="Q83" i="64"/>
  <c r="B83" i="64"/>
  <c r="Q82" i="64"/>
  <c r="B82" i="64"/>
  <c r="O81" i="64"/>
  <c r="N81" i="64"/>
  <c r="M81" i="64"/>
  <c r="L81" i="64"/>
  <c r="K81" i="64"/>
  <c r="J81" i="64"/>
  <c r="I81" i="64"/>
  <c r="H81" i="64"/>
  <c r="G81" i="64"/>
  <c r="F81" i="64"/>
  <c r="E81" i="64"/>
  <c r="D81" i="64"/>
  <c r="Q81" i="64" s="1"/>
  <c r="B81" i="64"/>
  <c r="Q80" i="64"/>
  <c r="B80" i="64"/>
  <c r="Q79" i="64"/>
  <c r="B79" i="64"/>
  <c r="Q78" i="64"/>
  <c r="B78" i="64"/>
  <c r="O77" i="64"/>
  <c r="N77" i="64"/>
  <c r="M77" i="64"/>
  <c r="L77" i="64"/>
  <c r="K77" i="64"/>
  <c r="J77" i="64"/>
  <c r="I77" i="64"/>
  <c r="H77" i="64"/>
  <c r="G77" i="64"/>
  <c r="F77" i="64"/>
  <c r="E77" i="64"/>
  <c r="D77" i="64"/>
  <c r="B77" i="64"/>
  <c r="Q76" i="64"/>
  <c r="B76" i="64"/>
  <c r="Q75" i="64"/>
  <c r="B75" i="64"/>
  <c r="O74" i="64"/>
  <c r="N74" i="64"/>
  <c r="M74" i="64"/>
  <c r="L74" i="64"/>
  <c r="K74" i="64"/>
  <c r="J74" i="64"/>
  <c r="I74" i="64"/>
  <c r="H74" i="64"/>
  <c r="G74" i="64"/>
  <c r="F74" i="64"/>
  <c r="E74" i="64"/>
  <c r="D74" i="64"/>
  <c r="B74" i="64"/>
  <c r="Q73" i="64"/>
  <c r="B73" i="64"/>
  <c r="Q72" i="64"/>
  <c r="B72" i="64"/>
  <c r="O71" i="64"/>
  <c r="N71" i="64"/>
  <c r="M71" i="64"/>
  <c r="L71" i="64"/>
  <c r="K71" i="64"/>
  <c r="J71" i="64"/>
  <c r="I71" i="64"/>
  <c r="H71" i="64"/>
  <c r="G71" i="64"/>
  <c r="F71" i="64"/>
  <c r="E71" i="64"/>
  <c r="D71" i="64"/>
  <c r="B71" i="64"/>
  <c r="Q70" i="64"/>
  <c r="B70" i="64"/>
  <c r="O69" i="64"/>
  <c r="N69" i="64"/>
  <c r="M69" i="64"/>
  <c r="L69" i="64"/>
  <c r="K69" i="64"/>
  <c r="J69" i="64"/>
  <c r="I69" i="64"/>
  <c r="H69" i="64"/>
  <c r="G69" i="64"/>
  <c r="F69" i="64"/>
  <c r="E69" i="64"/>
  <c r="D69" i="64"/>
  <c r="Q69" i="64" s="1"/>
  <c r="B69" i="64"/>
  <c r="Q68" i="64"/>
  <c r="B68" i="64"/>
  <c r="Q67" i="64"/>
  <c r="B67" i="64"/>
  <c r="O66" i="64"/>
  <c r="N66" i="64"/>
  <c r="M66" i="64"/>
  <c r="L66" i="64"/>
  <c r="K66" i="64"/>
  <c r="J66" i="64"/>
  <c r="I66" i="64"/>
  <c r="H66" i="64"/>
  <c r="G66" i="64"/>
  <c r="F66" i="64"/>
  <c r="E66" i="64"/>
  <c r="D66" i="64"/>
  <c r="Q66" i="64" s="1"/>
  <c r="B66" i="64"/>
  <c r="Q65" i="64"/>
  <c r="B65" i="64"/>
  <c r="Q64" i="64"/>
  <c r="B64" i="64"/>
  <c r="O63" i="64"/>
  <c r="N63" i="64"/>
  <c r="M63" i="64"/>
  <c r="L63" i="64"/>
  <c r="K63" i="64"/>
  <c r="J63" i="64"/>
  <c r="I63" i="64"/>
  <c r="H63" i="64"/>
  <c r="G63" i="64"/>
  <c r="F63" i="64"/>
  <c r="E63" i="64"/>
  <c r="D63" i="64"/>
  <c r="B63" i="64"/>
  <c r="Q62" i="64"/>
  <c r="B62" i="64"/>
  <c r="O61" i="64"/>
  <c r="N61" i="64"/>
  <c r="M61" i="64"/>
  <c r="L61" i="64"/>
  <c r="K61" i="64"/>
  <c r="J61" i="64"/>
  <c r="I61" i="64"/>
  <c r="H61" i="64"/>
  <c r="G61" i="64"/>
  <c r="F61" i="64"/>
  <c r="E61" i="64"/>
  <c r="D61" i="64"/>
  <c r="B61" i="64"/>
  <c r="Q60" i="64"/>
  <c r="B60" i="64"/>
  <c r="O59" i="64"/>
  <c r="N59" i="64"/>
  <c r="M59" i="64"/>
  <c r="L59" i="64"/>
  <c r="K59" i="64"/>
  <c r="J59" i="64"/>
  <c r="I59" i="64"/>
  <c r="H59" i="64"/>
  <c r="G59" i="64"/>
  <c r="F59" i="64"/>
  <c r="E59" i="64"/>
  <c r="E36" i="64" s="1"/>
  <c r="D59" i="64"/>
  <c r="D36" i="64" s="1"/>
  <c r="B59" i="64"/>
  <c r="Q58" i="64"/>
  <c r="B58" i="64"/>
  <c r="O57" i="64"/>
  <c r="N57" i="64"/>
  <c r="N36" i="64" s="1"/>
  <c r="M57" i="64"/>
  <c r="L57" i="64"/>
  <c r="K57" i="64"/>
  <c r="J57" i="64"/>
  <c r="I57" i="64"/>
  <c r="H57" i="64"/>
  <c r="G57" i="64"/>
  <c r="F57" i="64"/>
  <c r="E57" i="64"/>
  <c r="D57" i="64"/>
  <c r="B57" i="64"/>
  <c r="Q56" i="64"/>
  <c r="B56" i="64"/>
  <c r="Q55" i="64"/>
  <c r="B55" i="64"/>
  <c r="Q54" i="64"/>
  <c r="B54" i="64"/>
  <c r="Q53" i="64"/>
  <c r="B53" i="64"/>
  <c r="Q52" i="64"/>
  <c r="B52" i="64"/>
  <c r="Q51" i="64"/>
  <c r="B51" i="64"/>
  <c r="Q50" i="64"/>
  <c r="B50" i="64"/>
  <c r="Q49" i="64"/>
  <c r="B49" i="64"/>
  <c r="Q48" i="64"/>
  <c r="B48" i="64"/>
  <c r="Q47" i="64"/>
  <c r="B47" i="64"/>
  <c r="O46" i="64"/>
  <c r="N46" i="64"/>
  <c r="M46" i="64"/>
  <c r="L46" i="64"/>
  <c r="K46" i="64"/>
  <c r="J46" i="64"/>
  <c r="I46" i="64"/>
  <c r="H46" i="64"/>
  <c r="G46" i="64"/>
  <c r="F46" i="64"/>
  <c r="E46" i="64"/>
  <c r="D46" i="64"/>
  <c r="Q46" i="64" s="1"/>
  <c r="B46" i="64"/>
  <c r="Q45" i="64"/>
  <c r="B45" i="64"/>
  <c r="Q44" i="64"/>
  <c r="B44" i="64"/>
  <c r="Q43" i="64"/>
  <c r="B43" i="64"/>
  <c r="Q42" i="64"/>
  <c r="B42" i="64"/>
  <c r="Q41" i="64"/>
  <c r="B41" i="64"/>
  <c r="Q40" i="64"/>
  <c r="B40" i="64"/>
  <c r="Q39" i="64"/>
  <c r="B39" i="64"/>
  <c r="Q38" i="64"/>
  <c r="B38" i="64"/>
  <c r="O37" i="64"/>
  <c r="N37" i="64"/>
  <c r="M37" i="64"/>
  <c r="M36" i="64" s="1"/>
  <c r="L37" i="64"/>
  <c r="K37" i="64"/>
  <c r="J37" i="64"/>
  <c r="I37" i="64"/>
  <c r="H37" i="64"/>
  <c r="G37" i="64"/>
  <c r="G36" i="64" s="1"/>
  <c r="F37" i="64"/>
  <c r="E37" i="64"/>
  <c r="D37" i="64"/>
  <c r="Q37" i="64" s="1"/>
  <c r="B37" i="64"/>
  <c r="I36" i="64"/>
  <c r="H36" i="64"/>
  <c r="I34" i="64"/>
  <c r="Q31" i="64"/>
  <c r="B31" i="64"/>
  <c r="Q30" i="64"/>
  <c r="B30" i="64"/>
  <c r="Q29" i="64"/>
  <c r="B29" i="64"/>
  <c r="Q28" i="64"/>
  <c r="B28" i="64"/>
  <c r="Q27" i="64"/>
  <c r="B27" i="64"/>
  <c r="Q26" i="64"/>
  <c r="Q23" i="64" s="1"/>
  <c r="B26" i="64"/>
  <c r="Q25" i="64"/>
  <c r="B25" i="64"/>
  <c r="Q24" i="64"/>
  <c r="B24" i="64"/>
  <c r="O23" i="64"/>
  <c r="N23" i="64"/>
  <c r="M23" i="64"/>
  <c r="L23" i="64"/>
  <c r="K23" i="64"/>
  <c r="J23" i="64"/>
  <c r="J33" i="64" s="1"/>
  <c r="I23" i="64"/>
  <c r="H23" i="64"/>
  <c r="G23" i="64"/>
  <c r="F23" i="64"/>
  <c r="E23" i="64"/>
  <c r="D23" i="64"/>
  <c r="M21" i="64"/>
  <c r="L21" i="64"/>
  <c r="K21" i="64"/>
  <c r="J21" i="64"/>
  <c r="I21" i="64"/>
  <c r="Q21" i="64" s="1"/>
  <c r="H21" i="64"/>
  <c r="G21" i="64"/>
  <c r="F21" i="64"/>
  <c r="E21" i="64"/>
  <c r="D21" i="64"/>
  <c r="B21" i="64"/>
  <c r="M20" i="64"/>
  <c r="L20" i="64"/>
  <c r="K20" i="64"/>
  <c r="J20" i="64"/>
  <c r="I20" i="64"/>
  <c r="Q20" i="64" s="1"/>
  <c r="H20" i="64"/>
  <c r="G20" i="64"/>
  <c r="F20" i="64"/>
  <c r="E20" i="64"/>
  <c r="D20" i="64"/>
  <c r="B20" i="64"/>
  <c r="M19" i="64"/>
  <c r="L19" i="64"/>
  <c r="K19" i="64"/>
  <c r="J19" i="64"/>
  <c r="I19" i="64"/>
  <c r="Q19" i="64" s="1"/>
  <c r="H19" i="64"/>
  <c r="G19" i="64"/>
  <c r="F19" i="64"/>
  <c r="E19" i="64"/>
  <c r="D19" i="64"/>
  <c r="B19" i="64"/>
  <c r="M18" i="64"/>
  <c r="L18" i="64"/>
  <c r="K18" i="64"/>
  <c r="J18" i="64"/>
  <c r="I18" i="64"/>
  <c r="Q18" i="64" s="1"/>
  <c r="H18" i="64"/>
  <c r="G18" i="64"/>
  <c r="F18" i="64"/>
  <c r="E18" i="64"/>
  <c r="D18" i="64"/>
  <c r="B18" i="64"/>
  <c r="M17" i="64"/>
  <c r="L17" i="64"/>
  <c r="K17" i="64"/>
  <c r="J17" i="64"/>
  <c r="I17" i="64"/>
  <c r="Q17" i="64" s="1"/>
  <c r="H17" i="64"/>
  <c r="G17" i="64"/>
  <c r="F17" i="64"/>
  <c r="E17" i="64"/>
  <c r="D17" i="64"/>
  <c r="B17" i="64"/>
  <c r="M16" i="64"/>
  <c r="L16" i="64"/>
  <c r="K16" i="64"/>
  <c r="J16" i="64"/>
  <c r="I16" i="64"/>
  <c r="Q16" i="64" s="1"/>
  <c r="H16" i="64"/>
  <c r="G16" i="64"/>
  <c r="F16" i="64"/>
  <c r="E16" i="64"/>
  <c r="D16" i="64"/>
  <c r="B16" i="64"/>
  <c r="M15" i="64"/>
  <c r="L15" i="64"/>
  <c r="K15" i="64"/>
  <c r="J15" i="64"/>
  <c r="I15" i="64"/>
  <c r="Q15" i="64" s="1"/>
  <c r="H15" i="64"/>
  <c r="G15" i="64"/>
  <c r="F15" i="64"/>
  <c r="E15" i="64"/>
  <c r="D15" i="64"/>
  <c r="B15" i="64"/>
  <c r="M14" i="64"/>
  <c r="L14" i="64"/>
  <c r="K14" i="64"/>
  <c r="J14" i="64"/>
  <c r="I14" i="64"/>
  <c r="Q14" i="64" s="1"/>
  <c r="H14" i="64"/>
  <c r="G14" i="64"/>
  <c r="F14" i="64"/>
  <c r="E14" i="64"/>
  <c r="D14" i="64"/>
  <c r="B14" i="64"/>
  <c r="M13" i="64"/>
  <c r="L13" i="64"/>
  <c r="K13" i="64"/>
  <c r="J13" i="64"/>
  <c r="I13" i="64"/>
  <c r="Q13" i="64" s="1"/>
  <c r="H13" i="64"/>
  <c r="G13" i="64"/>
  <c r="F13" i="64"/>
  <c r="E13" i="64"/>
  <c r="D13" i="64"/>
  <c r="B13" i="64"/>
  <c r="M12" i="64"/>
  <c r="L12" i="64"/>
  <c r="K12" i="64"/>
  <c r="J12" i="64"/>
  <c r="I12" i="64"/>
  <c r="Q12" i="64" s="1"/>
  <c r="H12" i="64"/>
  <c r="G12" i="64"/>
  <c r="F12" i="64"/>
  <c r="E12" i="64"/>
  <c r="D12" i="64"/>
  <c r="B12" i="64"/>
  <c r="M11" i="64"/>
  <c r="L11" i="64"/>
  <c r="K11" i="64"/>
  <c r="J11" i="64"/>
  <c r="I11" i="64"/>
  <c r="I10" i="64" s="1"/>
  <c r="I33" i="64" s="1"/>
  <c r="I89" i="64" s="1"/>
  <c r="H11" i="64"/>
  <c r="H10" i="64" s="1"/>
  <c r="H33" i="64" s="1"/>
  <c r="G11" i="64"/>
  <c r="F11" i="64"/>
  <c r="E11" i="64"/>
  <c r="D11" i="64"/>
  <c r="B11" i="64"/>
  <c r="O10" i="64"/>
  <c r="O33" i="64" s="1"/>
  <c r="N10" i="64"/>
  <c r="N33" i="64" s="1"/>
  <c r="M10" i="64"/>
  <c r="M33" i="64" s="1"/>
  <c r="L10" i="64"/>
  <c r="L33" i="64" s="1"/>
  <c r="K10" i="64"/>
  <c r="K33" i="64" s="1"/>
  <c r="J10" i="64"/>
  <c r="G10" i="64"/>
  <c r="G33" i="64" s="1"/>
  <c r="G34" i="64" s="1"/>
  <c r="F10" i="64"/>
  <c r="F33" i="64" s="1"/>
  <c r="F34" i="64" s="1"/>
  <c r="E10" i="64"/>
  <c r="E33" i="64" s="1"/>
  <c r="D10" i="64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59" i="63"/>
  <c r="M54" i="63"/>
  <c r="L54" i="63"/>
  <c r="K54" i="63"/>
  <c r="J54" i="63"/>
  <c r="I54" i="63"/>
  <c r="H54" i="63"/>
  <c r="G54" i="63"/>
  <c r="F54" i="63"/>
  <c r="E54" i="63"/>
  <c r="D54" i="63"/>
  <c r="Q52" i="63"/>
  <c r="B52" i="63"/>
  <c r="O51" i="63"/>
  <c r="N51" i="63"/>
  <c r="M51" i="63"/>
  <c r="L51" i="63"/>
  <c r="K51" i="63"/>
  <c r="J51" i="63"/>
  <c r="I51" i="63"/>
  <c r="H51" i="63"/>
  <c r="G51" i="63"/>
  <c r="F51" i="63"/>
  <c r="E51" i="63"/>
  <c r="D51" i="63"/>
  <c r="B51" i="63"/>
  <c r="Q50" i="63"/>
  <c r="B50" i="63"/>
  <c r="O49" i="63"/>
  <c r="N49" i="63"/>
  <c r="M49" i="63"/>
  <c r="L49" i="63"/>
  <c r="K49" i="63"/>
  <c r="J49" i="63"/>
  <c r="I49" i="63"/>
  <c r="H49" i="63"/>
  <c r="G49" i="63"/>
  <c r="F49" i="63"/>
  <c r="E49" i="63"/>
  <c r="D49" i="63"/>
  <c r="B49" i="63"/>
  <c r="Q48" i="63"/>
  <c r="B48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B47" i="63"/>
  <c r="Q46" i="63"/>
  <c r="B46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B45" i="63"/>
  <c r="Q44" i="63"/>
  <c r="B44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B43" i="63"/>
  <c r="Q42" i="63"/>
  <c r="B42" i="63"/>
  <c r="O41" i="63"/>
  <c r="N41" i="63"/>
  <c r="M41" i="63"/>
  <c r="L41" i="63"/>
  <c r="K41" i="63"/>
  <c r="K17" i="63" s="1"/>
  <c r="J41" i="63"/>
  <c r="I41" i="63"/>
  <c r="H41" i="63"/>
  <c r="G41" i="63"/>
  <c r="F41" i="63"/>
  <c r="E41" i="63"/>
  <c r="D41" i="63"/>
  <c r="B41" i="63"/>
  <c r="Q40" i="63"/>
  <c r="B40" i="63"/>
  <c r="O39" i="63"/>
  <c r="N39" i="63"/>
  <c r="M39" i="63"/>
  <c r="L39" i="63"/>
  <c r="K39" i="63"/>
  <c r="J39" i="63"/>
  <c r="I39" i="63"/>
  <c r="H39" i="63"/>
  <c r="G39" i="63"/>
  <c r="F39" i="63"/>
  <c r="E39" i="63"/>
  <c r="D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Q29" i="63"/>
  <c r="B29" i="63"/>
  <c r="O28" i="63"/>
  <c r="N28" i="63"/>
  <c r="M28" i="63"/>
  <c r="L28" i="63"/>
  <c r="L17" i="63" s="1"/>
  <c r="K28" i="63"/>
  <c r="J28" i="63"/>
  <c r="I28" i="63"/>
  <c r="H28" i="63"/>
  <c r="G28" i="63"/>
  <c r="F28" i="63"/>
  <c r="F17" i="63" s="1"/>
  <c r="E28" i="63"/>
  <c r="D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N18" i="63"/>
  <c r="M18" i="63"/>
  <c r="L18" i="63"/>
  <c r="K18" i="63"/>
  <c r="J18" i="63"/>
  <c r="I18" i="63"/>
  <c r="H18" i="63"/>
  <c r="H17" i="63" s="1"/>
  <c r="G18" i="63"/>
  <c r="F18" i="63"/>
  <c r="E18" i="63"/>
  <c r="D18" i="63"/>
  <c r="Q18" i="63" s="1"/>
  <c r="B18" i="63"/>
  <c r="J17" i="63"/>
  <c r="E17" i="63"/>
  <c r="D17" i="63"/>
  <c r="L15" i="63"/>
  <c r="F15" i="63"/>
  <c r="E15" i="63"/>
  <c r="L14" i="63"/>
  <c r="F14" i="63"/>
  <c r="Q12" i="63"/>
  <c r="O12" i="63"/>
  <c r="N12" i="63"/>
  <c r="M12" i="63"/>
  <c r="M14" i="63" s="1"/>
  <c r="L12" i="63"/>
  <c r="K12" i="63"/>
  <c r="J12" i="63"/>
  <c r="I12" i="63"/>
  <c r="H12" i="63"/>
  <c r="G12" i="63"/>
  <c r="G14" i="63" s="1"/>
  <c r="F12" i="63"/>
  <c r="E12" i="63"/>
  <c r="D12" i="63"/>
  <c r="Q10" i="63"/>
  <c r="Q14" i="63" s="1"/>
  <c r="O10" i="63"/>
  <c r="O14" i="63" s="1"/>
  <c r="N10" i="63"/>
  <c r="N14" i="63" s="1"/>
  <c r="M10" i="63"/>
  <c r="L10" i="63"/>
  <c r="K10" i="63"/>
  <c r="K14" i="63" s="1"/>
  <c r="J10" i="63"/>
  <c r="J14" i="63" s="1"/>
  <c r="I10" i="63"/>
  <c r="I14" i="63" s="1"/>
  <c r="H10" i="63"/>
  <c r="H14" i="63" s="1"/>
  <c r="G10" i="63"/>
  <c r="F10" i="63"/>
  <c r="E10" i="63"/>
  <c r="E14" i="63" s="1"/>
  <c r="E56" i="63" s="1"/>
  <c r="D10" i="63"/>
  <c r="D14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3" i="62"/>
  <c r="M98" i="62"/>
  <c r="L98" i="62"/>
  <c r="K98" i="62"/>
  <c r="J98" i="62"/>
  <c r="I98" i="62"/>
  <c r="H98" i="62"/>
  <c r="G98" i="62"/>
  <c r="F98" i="62"/>
  <c r="E98" i="62"/>
  <c r="D98" i="62"/>
  <c r="Q98" i="62" s="1"/>
  <c r="Q96" i="62"/>
  <c r="B96" i="62"/>
  <c r="O95" i="62"/>
  <c r="N95" i="62"/>
  <c r="M95" i="62"/>
  <c r="L95" i="62"/>
  <c r="K95" i="62"/>
  <c r="J95" i="62"/>
  <c r="I95" i="62"/>
  <c r="H95" i="62"/>
  <c r="G95" i="62"/>
  <c r="F95" i="62"/>
  <c r="E95" i="62"/>
  <c r="D95" i="62"/>
  <c r="Q95" i="62" s="1"/>
  <c r="B95" i="62"/>
  <c r="Q94" i="62"/>
  <c r="B94" i="62"/>
  <c r="Q93" i="62"/>
  <c r="B93" i="62"/>
  <c r="O92" i="62"/>
  <c r="N92" i="62"/>
  <c r="M92" i="62"/>
  <c r="L92" i="62"/>
  <c r="K92" i="62"/>
  <c r="J92" i="62"/>
  <c r="I92" i="62"/>
  <c r="H92" i="62"/>
  <c r="G92" i="62"/>
  <c r="F92" i="62"/>
  <c r="E92" i="62"/>
  <c r="D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Q90" i="62" s="1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Q88" i="62" s="1"/>
  <c r="B88" i="62"/>
  <c r="Q87" i="62"/>
  <c r="B87" i="62"/>
  <c r="Q86" i="62"/>
  <c r="B86" i="62"/>
  <c r="Q85" i="62"/>
  <c r="B85" i="62"/>
  <c r="Q84" i="62"/>
  <c r="B84" i="62"/>
  <c r="Q83" i="62"/>
  <c r="B83" i="62"/>
  <c r="Q82" i="62"/>
  <c r="B82" i="62"/>
  <c r="Q81" i="62"/>
  <c r="B81" i="62"/>
  <c r="O80" i="62"/>
  <c r="N80" i="62"/>
  <c r="M80" i="62"/>
  <c r="L80" i="62"/>
  <c r="K80" i="62"/>
  <c r="J80" i="62"/>
  <c r="I80" i="62"/>
  <c r="H80" i="62"/>
  <c r="G80" i="62"/>
  <c r="F80" i="62"/>
  <c r="E80" i="62"/>
  <c r="D80" i="62"/>
  <c r="B80" i="62"/>
  <c r="Q79" i="62"/>
  <c r="B79" i="62"/>
  <c r="O78" i="62"/>
  <c r="N78" i="62"/>
  <c r="M78" i="62"/>
  <c r="L78" i="62"/>
  <c r="K78" i="62"/>
  <c r="J78" i="62"/>
  <c r="I78" i="62"/>
  <c r="H78" i="62"/>
  <c r="G78" i="62"/>
  <c r="F78" i="62"/>
  <c r="E78" i="62"/>
  <c r="D78" i="62"/>
  <c r="B78" i="62"/>
  <c r="Q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Q69" i="62" s="1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Q63" i="62" s="1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Q61" i="62" s="1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K18" i="62" s="1"/>
  <c r="J57" i="62"/>
  <c r="I57" i="62"/>
  <c r="H57" i="62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B53" i="62"/>
  <c r="Q52" i="62"/>
  <c r="B52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Q51" i="62" s="1"/>
  <c r="B51" i="62"/>
  <c r="Q50" i="62"/>
  <c r="B50" i="62"/>
  <c r="Q49" i="62"/>
  <c r="B49" i="62"/>
  <c r="O48" i="62"/>
  <c r="N48" i="62"/>
  <c r="M48" i="62"/>
  <c r="L48" i="62"/>
  <c r="K48" i="62"/>
  <c r="J48" i="62"/>
  <c r="I48" i="62"/>
  <c r="H48" i="62"/>
  <c r="G48" i="62"/>
  <c r="F48" i="62"/>
  <c r="E48" i="62"/>
  <c r="D48" i="62"/>
  <c r="Q48" i="62" s="1"/>
  <c r="B48" i="62"/>
  <c r="Q47" i="62"/>
  <c r="B47" i="62"/>
  <c r="O46" i="62"/>
  <c r="N46" i="62"/>
  <c r="M46" i="62"/>
  <c r="L46" i="62"/>
  <c r="K46" i="62"/>
  <c r="J46" i="62"/>
  <c r="I46" i="62"/>
  <c r="H46" i="62"/>
  <c r="G46" i="62"/>
  <c r="F46" i="62"/>
  <c r="E46" i="62"/>
  <c r="D46" i="62"/>
  <c r="B46" i="62"/>
  <c r="Q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G30" i="62"/>
  <c r="F30" i="62"/>
  <c r="E30" i="62"/>
  <c r="E18" i="62" s="1"/>
  <c r="D30" i="62"/>
  <c r="Q30" i="62" s="1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L19" i="62"/>
  <c r="K19" i="62"/>
  <c r="J19" i="62"/>
  <c r="I19" i="62"/>
  <c r="I18" i="62" s="1"/>
  <c r="H19" i="62"/>
  <c r="H18" i="62" s="1"/>
  <c r="G19" i="62"/>
  <c r="F19" i="62"/>
  <c r="E19" i="62"/>
  <c r="D19" i="62"/>
  <c r="B19" i="62"/>
  <c r="D18" i="62"/>
  <c r="L16" i="62"/>
  <c r="M15" i="62"/>
  <c r="L15" i="62"/>
  <c r="G15" i="62"/>
  <c r="F15" i="62"/>
  <c r="Q13" i="62"/>
  <c r="B13" i="62"/>
  <c r="Q12" i="62"/>
  <c r="O12" i="62"/>
  <c r="N12" i="62"/>
  <c r="M12" i="62"/>
  <c r="L12" i="62"/>
  <c r="K12" i="62"/>
  <c r="J12" i="62"/>
  <c r="I12" i="62"/>
  <c r="H12" i="62"/>
  <c r="G12" i="62"/>
  <c r="F12" i="62"/>
  <c r="E12" i="62"/>
  <c r="D12" i="62"/>
  <c r="Q10" i="62"/>
  <c r="Q15" i="62" s="1"/>
  <c r="O10" i="62"/>
  <c r="N10" i="62"/>
  <c r="N15" i="62" s="1"/>
  <c r="M10" i="62"/>
  <c r="L10" i="62"/>
  <c r="K10" i="62"/>
  <c r="K15" i="62" s="1"/>
  <c r="J10" i="62"/>
  <c r="I10" i="62"/>
  <c r="H10" i="62"/>
  <c r="H15" i="62" s="1"/>
  <c r="G10" i="62"/>
  <c r="F10" i="62"/>
  <c r="E10" i="62"/>
  <c r="E15" i="62" s="1"/>
  <c r="D10" i="62"/>
  <c r="D15" i="62" s="1"/>
  <c r="D16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M50" i="61"/>
  <c r="L50" i="61"/>
  <c r="K50" i="61"/>
  <c r="J50" i="61"/>
  <c r="I50" i="61"/>
  <c r="H50" i="61"/>
  <c r="G50" i="61"/>
  <c r="F50" i="61"/>
  <c r="E50" i="61"/>
  <c r="D50" i="61"/>
  <c r="Q50" i="61" s="1"/>
  <c r="Q48" i="61"/>
  <c r="B48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B45" i="61"/>
  <c r="Q44" i="61"/>
  <c r="B44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M17" i="61" s="1"/>
  <c r="L39" i="61"/>
  <c r="K39" i="61"/>
  <c r="J39" i="61"/>
  <c r="J17" i="61" s="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L17" i="61" s="1"/>
  <c r="K28" i="61"/>
  <c r="J28" i="61"/>
  <c r="I28" i="61"/>
  <c r="I17" i="61" s="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N17" i="61" s="1"/>
  <c r="M18" i="61"/>
  <c r="L18" i="61"/>
  <c r="K18" i="61"/>
  <c r="J18" i="61"/>
  <c r="I18" i="61"/>
  <c r="H18" i="61"/>
  <c r="H17" i="61" s="1"/>
  <c r="G18" i="61"/>
  <c r="F18" i="61"/>
  <c r="E18" i="61"/>
  <c r="E17" i="61" s="1"/>
  <c r="D18" i="61"/>
  <c r="D17" i="61" s="1"/>
  <c r="B18" i="61"/>
  <c r="G17" i="61"/>
  <c r="F17" i="61"/>
  <c r="G15" i="61"/>
  <c r="O14" i="61"/>
  <c r="H14" i="61"/>
  <c r="H52" i="61" s="1"/>
  <c r="F14" i="61"/>
  <c r="F15" i="61" s="1"/>
  <c r="Q12" i="61"/>
  <c r="O12" i="61"/>
  <c r="N12" i="61"/>
  <c r="M12" i="61"/>
  <c r="L12" i="61"/>
  <c r="L14" i="61" s="1"/>
  <c r="K12" i="61"/>
  <c r="J12" i="61"/>
  <c r="I12" i="61"/>
  <c r="I14" i="61" s="1"/>
  <c r="H12" i="61"/>
  <c r="G12" i="61"/>
  <c r="G14" i="61" s="1"/>
  <c r="F12" i="61"/>
  <c r="E12" i="61"/>
  <c r="D12" i="61"/>
  <c r="Q10" i="61"/>
  <c r="Q14" i="61" s="1"/>
  <c r="Q15" i="61" s="1"/>
  <c r="O10" i="61"/>
  <c r="N10" i="61"/>
  <c r="N14" i="61" s="1"/>
  <c r="M10" i="61"/>
  <c r="M14" i="61" s="1"/>
  <c r="L10" i="61"/>
  <c r="K10" i="61"/>
  <c r="K14" i="61" s="1"/>
  <c r="J10" i="61"/>
  <c r="J14" i="61" s="1"/>
  <c r="I10" i="61"/>
  <c r="H10" i="61"/>
  <c r="G10" i="61"/>
  <c r="F10" i="61"/>
  <c r="E10" i="61"/>
  <c r="E14" i="61" s="1"/>
  <c r="E15" i="61" s="1"/>
  <c r="D10" i="61"/>
  <c r="D14" i="61" s="1"/>
  <c r="D15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59" i="60"/>
  <c r="M54" i="60"/>
  <c r="L54" i="60"/>
  <c r="K54" i="60"/>
  <c r="J54" i="60"/>
  <c r="I54" i="60"/>
  <c r="H54" i="60"/>
  <c r="G54" i="60"/>
  <c r="F54" i="60"/>
  <c r="E54" i="60"/>
  <c r="D54" i="60"/>
  <c r="Q52" i="60"/>
  <c r="B52" i="60"/>
  <c r="O51" i="60"/>
  <c r="N51" i="60"/>
  <c r="M51" i="60"/>
  <c r="L51" i="60"/>
  <c r="K51" i="60"/>
  <c r="J51" i="60"/>
  <c r="I51" i="60"/>
  <c r="H51" i="60"/>
  <c r="G51" i="60"/>
  <c r="F51" i="60"/>
  <c r="E51" i="60"/>
  <c r="D51" i="60"/>
  <c r="Q51" i="60" s="1"/>
  <c r="B51" i="60"/>
  <c r="Q50" i="60"/>
  <c r="B50" i="60"/>
  <c r="Q49" i="60"/>
  <c r="B49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Q48" i="60" s="1"/>
  <c r="B48" i="60"/>
  <c r="Q47" i="60"/>
  <c r="B47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Q46" i="60" s="1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N39" i="60"/>
  <c r="M39" i="60"/>
  <c r="L39" i="60"/>
  <c r="K39" i="60"/>
  <c r="K17" i="60" s="1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O17" i="60" s="1"/>
  <c r="N18" i="60"/>
  <c r="N17" i="60" s="1"/>
  <c r="M18" i="60"/>
  <c r="M17" i="60" s="1"/>
  <c r="L18" i="60"/>
  <c r="L17" i="60" s="1"/>
  <c r="K18" i="60"/>
  <c r="J18" i="60"/>
  <c r="I18" i="60"/>
  <c r="H18" i="60"/>
  <c r="G18" i="60"/>
  <c r="F18" i="60"/>
  <c r="E18" i="60"/>
  <c r="D18" i="60"/>
  <c r="Q18" i="60" s="1"/>
  <c r="B18" i="60"/>
  <c r="J17" i="60"/>
  <c r="E17" i="60"/>
  <c r="D17" i="60"/>
  <c r="Q14" i="60"/>
  <c r="Q15" i="60" s="1"/>
  <c r="F14" i="60"/>
  <c r="F15" i="60" s="1"/>
  <c r="D14" i="60"/>
  <c r="D15" i="60" s="1"/>
  <c r="Q12" i="60"/>
  <c r="O12" i="60"/>
  <c r="N12" i="60"/>
  <c r="M12" i="60"/>
  <c r="M14" i="60" s="1"/>
  <c r="L12" i="60"/>
  <c r="K12" i="60"/>
  <c r="J12" i="60"/>
  <c r="J14" i="60" s="1"/>
  <c r="I12" i="60"/>
  <c r="H12" i="60"/>
  <c r="G12" i="60"/>
  <c r="G14" i="60" s="1"/>
  <c r="F12" i="60"/>
  <c r="E12" i="60"/>
  <c r="E14" i="60" s="1"/>
  <c r="D12" i="60"/>
  <c r="Q10" i="60"/>
  <c r="O10" i="60"/>
  <c r="O14" i="60" s="1"/>
  <c r="N10" i="60"/>
  <c r="N14" i="60" s="1"/>
  <c r="M10" i="60"/>
  <c r="L10" i="60"/>
  <c r="L14" i="60" s="1"/>
  <c r="K10" i="60"/>
  <c r="K14" i="60" s="1"/>
  <c r="J10" i="60"/>
  <c r="I10" i="60"/>
  <c r="I14" i="60" s="1"/>
  <c r="H10" i="60"/>
  <c r="H14" i="60" s="1"/>
  <c r="G10" i="60"/>
  <c r="F10" i="60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M62" i="59"/>
  <c r="L62" i="59"/>
  <c r="K62" i="59"/>
  <c r="J62" i="59"/>
  <c r="I62" i="59"/>
  <c r="H62" i="59"/>
  <c r="G62" i="59"/>
  <c r="F62" i="59"/>
  <c r="E62" i="59"/>
  <c r="D62" i="59"/>
  <c r="Q62" i="59" s="1"/>
  <c r="Q60" i="59"/>
  <c r="B60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B59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Q54" i="59" s="1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Q46" i="59" s="1"/>
  <c r="B46" i="59"/>
  <c r="Q45" i="59"/>
  <c r="B45" i="59"/>
  <c r="O44" i="59"/>
  <c r="N44" i="59"/>
  <c r="M44" i="59"/>
  <c r="M17" i="59" s="1"/>
  <c r="L44" i="59"/>
  <c r="K44" i="59"/>
  <c r="J44" i="59"/>
  <c r="I44" i="59"/>
  <c r="H44" i="59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Q42" i="59" s="1"/>
  <c r="B42" i="59"/>
  <c r="Q41" i="59"/>
  <c r="B41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Q40" i="59" s="1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G29" i="59"/>
  <c r="F29" i="59"/>
  <c r="F17" i="59" s="1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O17" i="59" s="1"/>
  <c r="N18" i="59"/>
  <c r="N17" i="59" s="1"/>
  <c r="M18" i="59"/>
  <c r="L18" i="59"/>
  <c r="K18" i="59"/>
  <c r="J18" i="59"/>
  <c r="J17" i="59" s="1"/>
  <c r="I18" i="59"/>
  <c r="H18" i="59"/>
  <c r="G18" i="59"/>
  <c r="F18" i="59"/>
  <c r="E18" i="59"/>
  <c r="D18" i="59"/>
  <c r="D17" i="59" s="1"/>
  <c r="D64" i="59" s="1"/>
  <c r="B18" i="59"/>
  <c r="G17" i="59"/>
  <c r="H15" i="59"/>
  <c r="G15" i="59"/>
  <c r="N14" i="59"/>
  <c r="H14" i="59"/>
  <c r="F14" i="59"/>
  <c r="F15" i="59" s="1"/>
  <c r="Q12" i="59"/>
  <c r="O12" i="59"/>
  <c r="O14" i="59" s="1"/>
  <c r="N12" i="59"/>
  <c r="M12" i="59"/>
  <c r="L12" i="59"/>
  <c r="L14" i="59" s="1"/>
  <c r="K12" i="59"/>
  <c r="J12" i="59"/>
  <c r="I12" i="59"/>
  <c r="I14" i="59" s="1"/>
  <c r="H12" i="59"/>
  <c r="G12" i="59"/>
  <c r="G14" i="59" s="1"/>
  <c r="G64" i="59" s="1"/>
  <c r="F12" i="59"/>
  <c r="E12" i="59"/>
  <c r="D12" i="59"/>
  <c r="Q10" i="59"/>
  <c r="Q14" i="59" s="1"/>
  <c r="Q15" i="59" s="1"/>
  <c r="O10" i="59"/>
  <c r="N10" i="59"/>
  <c r="M10" i="59"/>
  <c r="M14" i="59" s="1"/>
  <c r="L10" i="59"/>
  <c r="K10" i="59"/>
  <c r="K14" i="59" s="1"/>
  <c r="J10" i="59"/>
  <c r="J14" i="59" s="1"/>
  <c r="I10" i="59"/>
  <c r="H10" i="59"/>
  <c r="G10" i="59"/>
  <c r="F10" i="59"/>
  <c r="E10" i="59"/>
  <c r="E14" i="59" s="1"/>
  <c r="E15" i="59" s="1"/>
  <c r="D10" i="59"/>
  <c r="D14" i="59" s="1"/>
  <c r="D15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M72" i="58"/>
  <c r="L72" i="58"/>
  <c r="K72" i="58"/>
  <c r="J72" i="58"/>
  <c r="I72" i="58"/>
  <c r="H72" i="58"/>
  <c r="G72" i="58"/>
  <c r="F72" i="58"/>
  <c r="E72" i="58"/>
  <c r="D72" i="58"/>
  <c r="Q72" i="58" s="1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Q65" i="58" s="1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E17" i="58" s="1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G17" i="58" s="1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L17" i="58" s="1"/>
  <c r="K18" i="58"/>
  <c r="J18" i="58"/>
  <c r="I18" i="58"/>
  <c r="I17" i="58" s="1"/>
  <c r="H18" i="58"/>
  <c r="H17" i="58" s="1"/>
  <c r="G18" i="58"/>
  <c r="F18" i="58"/>
  <c r="F17" i="58" s="1"/>
  <c r="E18" i="58"/>
  <c r="D18" i="58"/>
  <c r="B18" i="58"/>
  <c r="F15" i="58"/>
  <c r="Q14" i="58"/>
  <c r="Q15" i="58" s="1"/>
  <c r="L14" i="58"/>
  <c r="F14" i="58"/>
  <c r="F74" i="58" s="1"/>
  <c r="D14" i="58"/>
  <c r="D15" i="58" s="1"/>
  <c r="Q12" i="58"/>
  <c r="O12" i="58"/>
  <c r="N12" i="58"/>
  <c r="M12" i="58"/>
  <c r="M14" i="58" s="1"/>
  <c r="L12" i="58"/>
  <c r="K12" i="58"/>
  <c r="J12" i="58"/>
  <c r="J14" i="58" s="1"/>
  <c r="I12" i="58"/>
  <c r="H12" i="58"/>
  <c r="G12" i="58"/>
  <c r="G14" i="58" s="1"/>
  <c r="F12" i="58"/>
  <c r="E12" i="58"/>
  <c r="E14" i="58" s="1"/>
  <c r="E15" i="58" s="1"/>
  <c r="D12" i="58"/>
  <c r="Q10" i="58"/>
  <c r="O10" i="58"/>
  <c r="O14" i="58" s="1"/>
  <c r="N10" i="58"/>
  <c r="N14" i="58" s="1"/>
  <c r="M10" i="58"/>
  <c r="L10" i="58"/>
  <c r="K10" i="58"/>
  <c r="K14" i="58" s="1"/>
  <c r="J10" i="58"/>
  <c r="I10" i="58"/>
  <c r="I14" i="58" s="1"/>
  <c r="H10" i="58"/>
  <c r="G10" i="58"/>
  <c r="F10" i="58"/>
  <c r="E10" i="58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1" i="57"/>
  <c r="M66" i="57"/>
  <c r="L66" i="57"/>
  <c r="K66" i="57"/>
  <c r="J66" i="57"/>
  <c r="I66" i="57"/>
  <c r="H66" i="57"/>
  <c r="G66" i="57"/>
  <c r="F66" i="57"/>
  <c r="E66" i="57"/>
  <c r="D66" i="57"/>
  <c r="Q64" i="57"/>
  <c r="B64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B63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Q61" i="57" s="1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B59" i="57"/>
  <c r="Q58" i="57"/>
  <c r="B58" i="57"/>
  <c r="Q57" i="57"/>
  <c r="B57" i="57"/>
  <c r="O56" i="57"/>
  <c r="N56" i="57"/>
  <c r="M56" i="57"/>
  <c r="L56" i="57"/>
  <c r="K56" i="57"/>
  <c r="J56" i="57"/>
  <c r="I56" i="57"/>
  <c r="H56" i="57"/>
  <c r="H17" i="57" s="1"/>
  <c r="G56" i="57"/>
  <c r="F56" i="57"/>
  <c r="E56" i="57"/>
  <c r="D56" i="57"/>
  <c r="B56" i="57"/>
  <c r="Q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B54" i="57"/>
  <c r="Q53" i="57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E17" i="57" s="1"/>
  <c r="E68" i="57" s="1"/>
  <c r="D46" i="57"/>
  <c r="Q46" i="57" s="1"/>
  <c r="B46" i="57"/>
  <c r="Q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N17" i="57" s="1"/>
  <c r="M41" i="57"/>
  <c r="L41" i="57"/>
  <c r="K41" i="57"/>
  <c r="J41" i="57"/>
  <c r="I41" i="57"/>
  <c r="I17" i="57" s="1"/>
  <c r="H41" i="57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O17" i="57" s="1"/>
  <c r="N18" i="57"/>
  <c r="M18" i="57"/>
  <c r="L18" i="57"/>
  <c r="K18" i="57"/>
  <c r="J18" i="57"/>
  <c r="I18" i="57"/>
  <c r="H18" i="57"/>
  <c r="G18" i="57"/>
  <c r="G17" i="57" s="1"/>
  <c r="F18" i="57"/>
  <c r="F17" i="57" s="1"/>
  <c r="E18" i="57"/>
  <c r="D18" i="57"/>
  <c r="D17" i="57" s="1"/>
  <c r="B18" i="57"/>
  <c r="O15" i="57"/>
  <c r="N15" i="57"/>
  <c r="D15" i="57"/>
  <c r="Q14" i="57"/>
  <c r="Q15" i="57" s="1"/>
  <c r="O14" i="57"/>
  <c r="N14" i="57"/>
  <c r="I14" i="57"/>
  <c r="G14" i="57"/>
  <c r="G15" i="57" s="1"/>
  <c r="E14" i="57"/>
  <c r="E15" i="57" s="1"/>
  <c r="D14" i="57"/>
  <c r="D68" i="57" s="1"/>
  <c r="Q12" i="57"/>
  <c r="O12" i="57"/>
  <c r="N12" i="57"/>
  <c r="M12" i="57"/>
  <c r="L12" i="57"/>
  <c r="K12" i="57"/>
  <c r="J12" i="57"/>
  <c r="I12" i="57"/>
  <c r="H12" i="57"/>
  <c r="H14" i="57" s="1"/>
  <c r="G12" i="57"/>
  <c r="F12" i="57"/>
  <c r="E12" i="57"/>
  <c r="D12" i="57"/>
  <c r="Q10" i="57"/>
  <c r="O10" i="57"/>
  <c r="N10" i="57"/>
  <c r="M10" i="57"/>
  <c r="M14" i="57" s="1"/>
  <c r="L10" i="57"/>
  <c r="K10" i="57"/>
  <c r="K14" i="57" s="1"/>
  <c r="J10" i="57"/>
  <c r="J14" i="57" s="1"/>
  <c r="J15" i="57" s="1"/>
  <c r="I10" i="57"/>
  <c r="H10" i="57"/>
  <c r="G10" i="57"/>
  <c r="F10" i="57"/>
  <c r="E10" i="57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7" i="56"/>
  <c r="M72" i="56"/>
  <c r="L72" i="56"/>
  <c r="K72" i="56"/>
  <c r="J72" i="56"/>
  <c r="I72" i="56"/>
  <c r="H72" i="56"/>
  <c r="G72" i="56"/>
  <c r="F72" i="56"/>
  <c r="E72" i="56"/>
  <c r="D72" i="56"/>
  <c r="Q72" i="56" s="1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B67" i="56"/>
  <c r="Q66" i="56"/>
  <c r="B66" i="56"/>
  <c r="Q65" i="56"/>
  <c r="B65" i="56"/>
  <c r="Q64" i="56"/>
  <c r="B64" i="56"/>
  <c r="O63" i="56"/>
  <c r="N63" i="56"/>
  <c r="M63" i="56"/>
  <c r="L63" i="56"/>
  <c r="K63" i="56"/>
  <c r="J63" i="56"/>
  <c r="I63" i="56"/>
  <c r="H63" i="56"/>
  <c r="G63" i="56"/>
  <c r="F63" i="56"/>
  <c r="E63" i="56"/>
  <c r="D63" i="56"/>
  <c r="Q63" i="56" s="1"/>
  <c r="B63" i="56"/>
  <c r="Q62" i="56"/>
  <c r="B62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B61" i="56"/>
  <c r="Q60" i="56"/>
  <c r="B60" i="56"/>
  <c r="Q59" i="56"/>
  <c r="B59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B58" i="56"/>
  <c r="Q57" i="56"/>
  <c r="B57" i="56"/>
  <c r="Q56" i="56"/>
  <c r="B56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Q53" i="56" s="1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E17" i="56" s="1"/>
  <c r="D43" i="56"/>
  <c r="B43" i="56"/>
  <c r="Q42" i="56"/>
  <c r="B42" i="56"/>
  <c r="O41" i="56"/>
  <c r="N41" i="56"/>
  <c r="M41" i="56"/>
  <c r="L41" i="56"/>
  <c r="K41" i="56"/>
  <c r="J41" i="56"/>
  <c r="I41" i="56"/>
  <c r="H41" i="56"/>
  <c r="H17" i="56" s="1"/>
  <c r="G41" i="56"/>
  <c r="F41" i="56"/>
  <c r="E41" i="56"/>
  <c r="D41" i="56"/>
  <c r="B41" i="56"/>
  <c r="Q40" i="56"/>
  <c r="B40" i="56"/>
  <c r="O39" i="56"/>
  <c r="N39" i="56"/>
  <c r="M39" i="56"/>
  <c r="M17" i="56" s="1"/>
  <c r="L39" i="56"/>
  <c r="L17" i="56" s="1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O17" i="56" s="1"/>
  <c r="N18" i="56"/>
  <c r="M18" i="56"/>
  <c r="L18" i="56"/>
  <c r="K18" i="56"/>
  <c r="J18" i="56"/>
  <c r="I18" i="56"/>
  <c r="H18" i="56"/>
  <c r="G18" i="56"/>
  <c r="F18" i="56"/>
  <c r="E18" i="56"/>
  <c r="D18" i="56"/>
  <c r="B18" i="56"/>
  <c r="I17" i="56"/>
  <c r="J15" i="56"/>
  <c r="I15" i="56"/>
  <c r="G15" i="56"/>
  <c r="N14" i="56"/>
  <c r="J14" i="56"/>
  <c r="H14" i="56"/>
  <c r="G14" i="56"/>
  <c r="Q12" i="56"/>
  <c r="O12" i="56"/>
  <c r="O14" i="56" s="1"/>
  <c r="N12" i="56"/>
  <c r="M12" i="56"/>
  <c r="L12" i="56"/>
  <c r="K12" i="56"/>
  <c r="K14" i="56" s="1"/>
  <c r="J12" i="56"/>
  <c r="I12" i="56"/>
  <c r="H12" i="56"/>
  <c r="G12" i="56"/>
  <c r="F12" i="56"/>
  <c r="E12" i="56"/>
  <c r="D12" i="56"/>
  <c r="Q10" i="56"/>
  <c r="Q14" i="56" s="1"/>
  <c r="O10" i="56"/>
  <c r="N10" i="56"/>
  <c r="M10" i="56"/>
  <c r="M14" i="56" s="1"/>
  <c r="L10" i="56"/>
  <c r="K10" i="56"/>
  <c r="J10" i="56"/>
  <c r="I10" i="56"/>
  <c r="I14" i="56" s="1"/>
  <c r="H10" i="56"/>
  <c r="G10" i="56"/>
  <c r="F10" i="56"/>
  <c r="F14" i="56" s="1"/>
  <c r="E10" i="56"/>
  <c r="E14" i="56" s="1"/>
  <c r="E15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M28" i="55"/>
  <c r="L28" i="55"/>
  <c r="K28" i="55"/>
  <c r="J28" i="55"/>
  <c r="I28" i="55"/>
  <c r="H28" i="55"/>
  <c r="H30" i="55" s="1"/>
  <c r="G28" i="55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H20" i="55"/>
  <c r="H17" i="55" s="1"/>
  <c r="G20" i="55"/>
  <c r="F20" i="55"/>
  <c r="F17" i="55" s="1"/>
  <c r="E20" i="55"/>
  <c r="D20" i="55"/>
  <c r="Q20" i="55" s="1"/>
  <c r="B20" i="55"/>
  <c r="Q19" i="55"/>
  <c r="B19" i="55"/>
  <c r="O18" i="55"/>
  <c r="N18" i="55"/>
  <c r="M18" i="55"/>
  <c r="M17" i="55" s="1"/>
  <c r="L18" i="55"/>
  <c r="K18" i="55"/>
  <c r="J18" i="55"/>
  <c r="J17" i="55" s="1"/>
  <c r="I18" i="55"/>
  <c r="I17" i="55" s="1"/>
  <c r="H18" i="55"/>
  <c r="G18" i="55"/>
  <c r="F18" i="55"/>
  <c r="E18" i="55"/>
  <c r="E17" i="55" s="1"/>
  <c r="D18" i="55"/>
  <c r="Q18" i="55" s="1"/>
  <c r="B18" i="55"/>
  <c r="O17" i="55"/>
  <c r="N17" i="55"/>
  <c r="K17" i="55"/>
  <c r="G17" i="55"/>
  <c r="Q15" i="55"/>
  <c r="M15" i="55"/>
  <c r="D15" i="55"/>
  <c r="Q14" i="55"/>
  <c r="N14" i="55"/>
  <c r="N30" i="55" s="1"/>
  <c r="M14" i="55"/>
  <c r="M30" i="55" s="1"/>
  <c r="H14" i="55"/>
  <c r="H15" i="55" s="1"/>
  <c r="E14" i="55"/>
  <c r="D14" i="55"/>
  <c r="Q12" i="55"/>
  <c r="O12" i="55"/>
  <c r="N12" i="55"/>
  <c r="M12" i="55"/>
  <c r="L12" i="55"/>
  <c r="K12" i="55"/>
  <c r="J12" i="55"/>
  <c r="I12" i="55"/>
  <c r="I14" i="55" s="1"/>
  <c r="I15" i="55" s="1"/>
  <c r="H12" i="55"/>
  <c r="G12" i="55"/>
  <c r="F12" i="55"/>
  <c r="E12" i="55"/>
  <c r="D12" i="55"/>
  <c r="Q10" i="55"/>
  <c r="O10" i="55"/>
  <c r="O14" i="55" s="1"/>
  <c r="N10" i="55"/>
  <c r="M10" i="55"/>
  <c r="L10" i="55"/>
  <c r="L14" i="55" s="1"/>
  <c r="K10" i="55"/>
  <c r="K14" i="55" s="1"/>
  <c r="J10" i="55"/>
  <c r="J14" i="55" s="1"/>
  <c r="I10" i="55"/>
  <c r="H10" i="55"/>
  <c r="G10" i="55"/>
  <c r="G14" i="55" s="1"/>
  <c r="F10" i="55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Q24" i="54"/>
  <c r="E21" i="54"/>
  <c r="M19" i="54"/>
  <c r="L19" i="54"/>
  <c r="K19" i="54"/>
  <c r="J19" i="54"/>
  <c r="I19" i="54"/>
  <c r="H19" i="54"/>
  <c r="G19" i="54"/>
  <c r="F19" i="54"/>
  <c r="E19" i="54"/>
  <c r="D19" i="54"/>
  <c r="Q19" i="54" s="1"/>
  <c r="Q17" i="54"/>
  <c r="Q21" i="54" s="1"/>
  <c r="O17" i="54"/>
  <c r="N17" i="54"/>
  <c r="M17" i="54"/>
  <c r="L17" i="54"/>
  <c r="K17" i="54"/>
  <c r="J17" i="54"/>
  <c r="I17" i="54"/>
  <c r="H17" i="54"/>
  <c r="G17" i="54"/>
  <c r="F17" i="54"/>
  <c r="E17" i="54"/>
  <c r="D17" i="54"/>
  <c r="D21" i="54" s="1"/>
  <c r="D26" i="54" s="1"/>
  <c r="O15" i="54"/>
  <c r="F15" i="54"/>
  <c r="Q14" i="54"/>
  <c r="Q15" i="54" s="1"/>
  <c r="O14" i="54"/>
  <c r="O21" i="54" s="1"/>
  <c r="O26" i="54" s="1"/>
  <c r="J14" i="54"/>
  <c r="J21" i="54" s="1"/>
  <c r="F14" i="54"/>
  <c r="F21" i="54" s="1"/>
  <c r="D14" i="54"/>
  <c r="D15" i="54" s="1"/>
  <c r="Q12" i="54"/>
  <c r="O12" i="54"/>
  <c r="N12" i="54"/>
  <c r="M12" i="54"/>
  <c r="L12" i="54"/>
  <c r="K12" i="54"/>
  <c r="K14" i="54" s="1"/>
  <c r="J12" i="54"/>
  <c r="I12" i="54"/>
  <c r="H12" i="54"/>
  <c r="G12" i="54"/>
  <c r="G14" i="54" s="1"/>
  <c r="F12" i="54"/>
  <c r="E12" i="54"/>
  <c r="D12" i="54"/>
  <c r="Q10" i="54"/>
  <c r="O10" i="54"/>
  <c r="N10" i="54"/>
  <c r="N14" i="54" s="1"/>
  <c r="M10" i="54"/>
  <c r="M14" i="54" s="1"/>
  <c r="L10" i="54"/>
  <c r="L14" i="54" s="1"/>
  <c r="K10" i="54"/>
  <c r="J10" i="54"/>
  <c r="I10" i="54"/>
  <c r="I14" i="54" s="1"/>
  <c r="H10" i="54"/>
  <c r="G10" i="54"/>
  <c r="F10" i="54"/>
  <c r="E10" i="54"/>
  <c r="E14" i="54" s="1"/>
  <c r="E15" i="54" s="1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8" i="51"/>
  <c r="O105" i="51"/>
  <c r="Q103" i="51"/>
  <c r="M103" i="51"/>
  <c r="L103" i="51"/>
  <c r="K103" i="51"/>
  <c r="J103" i="51"/>
  <c r="I103" i="51"/>
  <c r="H103" i="51"/>
  <c r="G103" i="51"/>
  <c r="F103" i="51"/>
  <c r="E103" i="51"/>
  <c r="D103" i="51"/>
  <c r="Q101" i="51"/>
  <c r="B101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Q100" i="51" s="1"/>
  <c r="B100" i="51"/>
  <c r="Q99" i="51"/>
  <c r="B99" i="51"/>
  <c r="O98" i="51"/>
  <c r="N98" i="51"/>
  <c r="M98" i="51"/>
  <c r="L98" i="51"/>
  <c r="K98" i="51"/>
  <c r="J98" i="51"/>
  <c r="I98" i="51"/>
  <c r="H98" i="51"/>
  <c r="H50" i="51" s="1"/>
  <c r="G98" i="51"/>
  <c r="F98" i="51"/>
  <c r="E98" i="51"/>
  <c r="D98" i="51"/>
  <c r="B98" i="51"/>
  <c r="Q97" i="51"/>
  <c r="B97" i="51"/>
  <c r="Q96" i="51"/>
  <c r="B96" i="51"/>
  <c r="Q95" i="51"/>
  <c r="B95" i="51"/>
  <c r="Q94" i="51"/>
  <c r="B94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B93" i="51"/>
  <c r="Q92" i="51"/>
  <c r="B92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B91" i="51"/>
  <c r="Q90" i="51"/>
  <c r="B90" i="51"/>
  <c r="Q89" i="51"/>
  <c r="B89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Q88" i="51" s="1"/>
  <c r="B88" i="51"/>
  <c r="Q87" i="51"/>
  <c r="B87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Q86" i="51" s="1"/>
  <c r="B86" i="51"/>
  <c r="Q85" i="51"/>
  <c r="B85" i="51"/>
  <c r="O84" i="51"/>
  <c r="N84" i="51"/>
  <c r="M84" i="51"/>
  <c r="M50" i="51" s="1"/>
  <c r="L84" i="51"/>
  <c r="K84" i="51"/>
  <c r="J84" i="51"/>
  <c r="I84" i="51"/>
  <c r="H84" i="51"/>
  <c r="G84" i="51"/>
  <c r="F84" i="51"/>
  <c r="E84" i="51"/>
  <c r="D84" i="51"/>
  <c r="Q84" i="51" s="1"/>
  <c r="B84" i="51"/>
  <c r="Q83" i="51"/>
  <c r="B83" i="51"/>
  <c r="Q82" i="51"/>
  <c r="B82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B81" i="51"/>
  <c r="Q80" i="51"/>
  <c r="B80" i="51"/>
  <c r="O79" i="51"/>
  <c r="N79" i="51"/>
  <c r="M79" i="51"/>
  <c r="L79" i="51"/>
  <c r="K79" i="51"/>
  <c r="J79" i="51"/>
  <c r="I79" i="51"/>
  <c r="H79" i="51"/>
  <c r="G79" i="51"/>
  <c r="F79" i="51"/>
  <c r="E79" i="51"/>
  <c r="D79" i="51"/>
  <c r="Q79" i="51" s="1"/>
  <c r="B79" i="51"/>
  <c r="Q78" i="51"/>
  <c r="B78" i="51"/>
  <c r="O77" i="51"/>
  <c r="N77" i="51"/>
  <c r="M77" i="51"/>
  <c r="L77" i="51"/>
  <c r="L50" i="51" s="1"/>
  <c r="K77" i="51"/>
  <c r="J77" i="51"/>
  <c r="I77" i="51"/>
  <c r="H77" i="51"/>
  <c r="G77" i="51"/>
  <c r="F77" i="51"/>
  <c r="E77" i="51"/>
  <c r="D77" i="51"/>
  <c r="Q77" i="51" s="1"/>
  <c r="B77" i="51"/>
  <c r="Q76" i="51"/>
  <c r="B76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B75" i="51"/>
  <c r="Q74" i="51"/>
  <c r="B74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B73" i="51"/>
  <c r="Q72" i="51"/>
  <c r="B72" i="51"/>
  <c r="Q71" i="51"/>
  <c r="B71" i="51"/>
  <c r="Q70" i="5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O62" i="51"/>
  <c r="N62" i="51"/>
  <c r="M62" i="51"/>
  <c r="L62" i="51"/>
  <c r="K62" i="51"/>
  <c r="J62" i="51"/>
  <c r="I62" i="51"/>
  <c r="I50" i="51" s="1"/>
  <c r="H62" i="51"/>
  <c r="G62" i="51"/>
  <c r="F62" i="51"/>
  <c r="E62" i="51"/>
  <c r="D62" i="51"/>
  <c r="B62" i="51"/>
  <c r="Q61" i="51"/>
  <c r="B61" i="51"/>
  <c r="Q60" i="51"/>
  <c r="B60" i="51"/>
  <c r="Q59" i="5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O51" i="51"/>
  <c r="O50" i="51" s="1"/>
  <c r="N51" i="51"/>
  <c r="M51" i="51"/>
  <c r="L51" i="51"/>
  <c r="K51" i="51"/>
  <c r="J51" i="51"/>
  <c r="I51" i="51"/>
  <c r="H51" i="51"/>
  <c r="G51" i="51"/>
  <c r="F51" i="51"/>
  <c r="F50" i="51" s="1"/>
  <c r="E51" i="51"/>
  <c r="D51" i="51"/>
  <c r="B51" i="51"/>
  <c r="K47" i="51"/>
  <c r="J47" i="51"/>
  <c r="H47" i="51"/>
  <c r="Q45" i="51"/>
  <c r="B45" i="51"/>
  <c r="Q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B32" i="51"/>
  <c r="Q31" i="51"/>
  <c r="O31" i="51"/>
  <c r="O47" i="51" s="1"/>
  <c r="O48" i="51" s="1"/>
  <c r="N31" i="51"/>
  <c r="M31" i="51"/>
  <c r="L31" i="51"/>
  <c r="K31" i="51"/>
  <c r="J31" i="51"/>
  <c r="I31" i="51"/>
  <c r="H31" i="51"/>
  <c r="G31" i="51"/>
  <c r="F31" i="51"/>
  <c r="E31" i="51"/>
  <c r="D31" i="51"/>
  <c r="Q29" i="51"/>
  <c r="M29" i="51"/>
  <c r="L29" i="51"/>
  <c r="K29" i="51"/>
  <c r="J29" i="51"/>
  <c r="I29" i="51"/>
  <c r="H29" i="51"/>
  <c r="G29" i="51"/>
  <c r="F29" i="51"/>
  <c r="E29" i="51"/>
  <c r="D29" i="51"/>
  <c r="B29" i="51"/>
  <c r="Q28" i="51"/>
  <c r="M28" i="51"/>
  <c r="L28" i="51"/>
  <c r="K28" i="51"/>
  <c r="J28" i="51"/>
  <c r="I28" i="51"/>
  <c r="H28" i="51"/>
  <c r="G28" i="51"/>
  <c r="F28" i="51"/>
  <c r="E28" i="51"/>
  <c r="D28" i="51"/>
  <c r="B28" i="51"/>
  <c r="Q27" i="51"/>
  <c r="M27" i="51"/>
  <c r="L27" i="51"/>
  <c r="K27" i="51"/>
  <c r="J27" i="51"/>
  <c r="I27" i="51"/>
  <c r="H27" i="51"/>
  <c r="G27" i="51"/>
  <c r="F27" i="51"/>
  <c r="E27" i="51"/>
  <c r="D27" i="51"/>
  <c r="B27" i="51"/>
  <c r="Q26" i="51"/>
  <c r="M26" i="51"/>
  <c r="L26" i="51"/>
  <c r="K26" i="51"/>
  <c r="J26" i="51"/>
  <c r="I26" i="51"/>
  <c r="H26" i="51"/>
  <c r="G26" i="51"/>
  <c r="F26" i="51"/>
  <c r="E26" i="51"/>
  <c r="D26" i="51"/>
  <c r="B26" i="51"/>
  <c r="Q25" i="51"/>
  <c r="M25" i="51"/>
  <c r="L25" i="51"/>
  <c r="K25" i="51"/>
  <c r="J25" i="51"/>
  <c r="I25" i="51"/>
  <c r="H25" i="51"/>
  <c r="G25" i="51"/>
  <c r="F25" i="51"/>
  <c r="E25" i="51"/>
  <c r="D25" i="51"/>
  <c r="B25" i="51"/>
  <c r="Q24" i="51"/>
  <c r="M24" i="51"/>
  <c r="L24" i="51"/>
  <c r="K24" i="51"/>
  <c r="J24" i="51"/>
  <c r="I24" i="51"/>
  <c r="H24" i="51"/>
  <c r="G24" i="51"/>
  <c r="F24" i="51"/>
  <c r="E24" i="51"/>
  <c r="D24" i="51"/>
  <c r="B24" i="51"/>
  <c r="Q23" i="51"/>
  <c r="M23" i="51"/>
  <c r="L23" i="51"/>
  <c r="K23" i="51"/>
  <c r="J23" i="51"/>
  <c r="I23" i="51"/>
  <c r="H23" i="51"/>
  <c r="G23" i="51"/>
  <c r="F23" i="51"/>
  <c r="E23" i="51"/>
  <c r="D23" i="51"/>
  <c r="B23" i="51"/>
  <c r="Q22" i="51"/>
  <c r="M22" i="51"/>
  <c r="L22" i="51"/>
  <c r="K22" i="51"/>
  <c r="J22" i="51"/>
  <c r="I22" i="51"/>
  <c r="H22" i="51"/>
  <c r="G22" i="51"/>
  <c r="F22" i="51"/>
  <c r="E22" i="51"/>
  <c r="D22" i="51"/>
  <c r="B22" i="51"/>
  <c r="Q21" i="51"/>
  <c r="M21" i="51"/>
  <c r="L21" i="51"/>
  <c r="K21" i="51"/>
  <c r="J21" i="51"/>
  <c r="I21" i="51"/>
  <c r="H21" i="51"/>
  <c r="G21" i="51"/>
  <c r="F21" i="51"/>
  <c r="E21" i="51"/>
  <c r="D21" i="51"/>
  <c r="B21" i="51"/>
  <c r="Q20" i="51"/>
  <c r="M20" i="51"/>
  <c r="L20" i="51"/>
  <c r="K20" i="51"/>
  <c r="J20" i="51"/>
  <c r="I20" i="51"/>
  <c r="H20" i="51"/>
  <c r="G20" i="51"/>
  <c r="F20" i="51"/>
  <c r="E20" i="51"/>
  <c r="D20" i="51"/>
  <c r="B20" i="51"/>
  <c r="Q19" i="51"/>
  <c r="M19" i="51"/>
  <c r="L19" i="51"/>
  <c r="K19" i="51"/>
  <c r="J19" i="51"/>
  <c r="I19" i="51"/>
  <c r="H19" i="51"/>
  <c r="G19" i="51"/>
  <c r="F19" i="51"/>
  <c r="E19" i="51"/>
  <c r="D19" i="51"/>
  <c r="B19" i="51"/>
  <c r="Q18" i="51"/>
  <c r="M18" i="51"/>
  <c r="L18" i="51"/>
  <c r="K18" i="51"/>
  <c r="J18" i="51"/>
  <c r="I18" i="51"/>
  <c r="H18" i="51"/>
  <c r="G18" i="51"/>
  <c r="F18" i="51"/>
  <c r="E18" i="51"/>
  <c r="D18" i="51"/>
  <c r="B18" i="51"/>
  <c r="Q17" i="51"/>
  <c r="M17" i="51"/>
  <c r="L17" i="51"/>
  <c r="K17" i="51"/>
  <c r="J17" i="51"/>
  <c r="I17" i="51"/>
  <c r="H17" i="51"/>
  <c r="G17" i="51"/>
  <c r="F17" i="51"/>
  <c r="E17" i="51"/>
  <c r="D17" i="51"/>
  <c r="B17" i="51"/>
  <c r="Q16" i="51"/>
  <c r="M16" i="51"/>
  <c r="L16" i="51"/>
  <c r="K16" i="51"/>
  <c r="J16" i="51"/>
  <c r="I16" i="51"/>
  <c r="H16" i="51"/>
  <c r="G16" i="51"/>
  <c r="F16" i="51"/>
  <c r="E16" i="51"/>
  <c r="D16" i="51"/>
  <c r="B16" i="51"/>
  <c r="Q15" i="51"/>
  <c r="M15" i="51"/>
  <c r="L15" i="51"/>
  <c r="K15" i="51"/>
  <c r="J15" i="51"/>
  <c r="I15" i="51"/>
  <c r="H15" i="51"/>
  <c r="G15" i="51"/>
  <c r="F15" i="51"/>
  <c r="E15" i="51"/>
  <c r="D15" i="51"/>
  <c r="B15" i="51"/>
  <c r="Q14" i="51"/>
  <c r="M14" i="51"/>
  <c r="L14" i="51"/>
  <c r="K14" i="51"/>
  <c r="J14" i="51"/>
  <c r="I14" i="51"/>
  <c r="H14" i="51"/>
  <c r="G14" i="51"/>
  <c r="F14" i="51"/>
  <c r="E14" i="51"/>
  <c r="D14" i="51"/>
  <c r="B14" i="51"/>
  <c r="Q13" i="51"/>
  <c r="M13" i="51"/>
  <c r="L13" i="51"/>
  <c r="K13" i="51"/>
  <c r="J13" i="51"/>
  <c r="I13" i="51"/>
  <c r="H13" i="51"/>
  <c r="G13" i="51"/>
  <c r="F13" i="51"/>
  <c r="E13" i="51"/>
  <c r="D13" i="51"/>
  <c r="B13" i="51"/>
  <c r="Q12" i="51"/>
  <c r="M12" i="51"/>
  <c r="L12" i="51"/>
  <c r="K12" i="51"/>
  <c r="J12" i="51"/>
  <c r="I12" i="51"/>
  <c r="H12" i="51"/>
  <c r="G12" i="51"/>
  <c r="F12" i="51"/>
  <c r="E12" i="51"/>
  <c r="D12" i="51"/>
  <c r="B12" i="51"/>
  <c r="Q11" i="51"/>
  <c r="M11" i="51"/>
  <c r="L11" i="51"/>
  <c r="L10" i="51" s="1"/>
  <c r="L47" i="51" s="1"/>
  <c r="K11" i="51"/>
  <c r="K10" i="51" s="1"/>
  <c r="J11" i="51"/>
  <c r="I11" i="51"/>
  <c r="H11" i="51"/>
  <c r="G11" i="51"/>
  <c r="G10" i="51" s="1"/>
  <c r="G47" i="51" s="1"/>
  <c r="F11" i="51"/>
  <c r="F10" i="51" s="1"/>
  <c r="F47" i="51" s="1"/>
  <c r="E11" i="51"/>
  <c r="D11" i="51"/>
  <c r="B11" i="51"/>
  <c r="Q10" i="51"/>
  <c r="Q47" i="51" s="1"/>
  <c r="O10" i="51"/>
  <c r="N10" i="51"/>
  <c r="N47" i="51" s="1"/>
  <c r="N48" i="51" s="1"/>
  <c r="M10" i="51"/>
  <c r="M47" i="51" s="1"/>
  <c r="J10" i="51"/>
  <c r="I10" i="51"/>
  <c r="I47" i="51" s="1"/>
  <c r="H10" i="51"/>
  <c r="E10" i="51"/>
  <c r="E47" i="51" s="1"/>
  <c r="D10" i="51"/>
  <c r="D47" i="51" s="1"/>
  <c r="O8" i="51"/>
  <c r="N8" i="51"/>
  <c r="M8" i="51"/>
  <c r="L8" i="51"/>
  <c r="K8" i="51"/>
  <c r="J8" i="51"/>
  <c r="I8" i="51"/>
  <c r="H8" i="51"/>
  <c r="G8" i="51"/>
  <c r="F8" i="51"/>
  <c r="E8" i="51"/>
  <c r="D8" i="51"/>
  <c r="Q72" i="48"/>
  <c r="M67" i="48"/>
  <c r="L67" i="48"/>
  <c r="K67" i="48"/>
  <c r="J67" i="48"/>
  <c r="I67" i="48"/>
  <c r="H67" i="48"/>
  <c r="G67" i="48"/>
  <c r="F67" i="48"/>
  <c r="E67" i="48"/>
  <c r="D67" i="48"/>
  <c r="Q65" i="48"/>
  <c r="B65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Q64" i="48" s="1"/>
  <c r="B64" i="48"/>
  <c r="Q63" i="48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B48" i="48"/>
  <c r="Q47" i="48"/>
  <c r="B47" i="48"/>
  <c r="O46" i="48"/>
  <c r="N46" i="48"/>
  <c r="M46" i="48"/>
  <c r="L46" i="48"/>
  <c r="K46" i="48"/>
  <c r="K19" i="48" s="1"/>
  <c r="J46" i="48"/>
  <c r="I46" i="48"/>
  <c r="H46" i="48"/>
  <c r="G46" i="48"/>
  <c r="F46" i="48"/>
  <c r="E46" i="48"/>
  <c r="D46" i="48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Q44" i="48" s="1"/>
  <c r="B44" i="48"/>
  <c r="Q43" i="48"/>
  <c r="B43" i="48"/>
  <c r="O42" i="48"/>
  <c r="N42" i="48"/>
  <c r="M42" i="48"/>
  <c r="L42" i="48"/>
  <c r="K42" i="48"/>
  <c r="J42" i="48"/>
  <c r="I42" i="48"/>
  <c r="H42" i="48"/>
  <c r="G42" i="48"/>
  <c r="F42" i="48"/>
  <c r="E42" i="48"/>
  <c r="D42" i="48"/>
  <c r="Q42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M31" i="48"/>
  <c r="L31" i="48"/>
  <c r="K31" i="48"/>
  <c r="J31" i="48"/>
  <c r="I31" i="48"/>
  <c r="H31" i="48"/>
  <c r="G31" i="48"/>
  <c r="G19" i="48" s="1"/>
  <c r="F31" i="48"/>
  <c r="E31" i="48"/>
  <c r="D31" i="48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N20" i="48"/>
  <c r="M20" i="48"/>
  <c r="M19" i="48" s="1"/>
  <c r="L20" i="48"/>
  <c r="K20" i="48"/>
  <c r="J20" i="48"/>
  <c r="I20" i="48"/>
  <c r="H20" i="48"/>
  <c r="G20" i="48"/>
  <c r="F20" i="48"/>
  <c r="E20" i="48"/>
  <c r="E19" i="48" s="1"/>
  <c r="D20" i="48"/>
  <c r="D19" i="48" s="1"/>
  <c r="B20" i="48"/>
  <c r="F19" i="48"/>
  <c r="F17" i="48"/>
  <c r="Q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M12" i="48"/>
  <c r="L12" i="48"/>
  <c r="K12" i="48"/>
  <c r="J12" i="48"/>
  <c r="I12" i="48"/>
  <c r="H12" i="48"/>
  <c r="G12" i="48"/>
  <c r="F12" i="48"/>
  <c r="E12" i="48"/>
  <c r="D12" i="48"/>
  <c r="B12" i="48"/>
  <c r="M11" i="48"/>
  <c r="L11" i="48"/>
  <c r="L10" i="48" s="1"/>
  <c r="L16" i="48" s="1"/>
  <c r="K11" i="48"/>
  <c r="J11" i="48"/>
  <c r="I11" i="48"/>
  <c r="H11" i="48"/>
  <c r="G11" i="48"/>
  <c r="G10" i="48" s="1"/>
  <c r="G16" i="48" s="1"/>
  <c r="F11" i="48"/>
  <c r="E11" i="48"/>
  <c r="E10" i="48" s="1"/>
  <c r="E16" i="48" s="1"/>
  <c r="D11" i="48"/>
  <c r="B11" i="48"/>
  <c r="O10" i="48"/>
  <c r="O16" i="48" s="1"/>
  <c r="N10" i="48"/>
  <c r="N16" i="48" s="1"/>
  <c r="M10" i="48"/>
  <c r="M16" i="48" s="1"/>
  <c r="K10" i="48"/>
  <c r="K16" i="48" s="1"/>
  <c r="J10" i="48"/>
  <c r="I10" i="48"/>
  <c r="I16" i="48" s="1"/>
  <c r="I17" i="48" s="1"/>
  <c r="F10" i="48"/>
  <c r="F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3" i="45"/>
  <c r="N100" i="45"/>
  <c r="Q98" i="45"/>
  <c r="M98" i="45"/>
  <c r="L98" i="45"/>
  <c r="K98" i="45"/>
  <c r="J98" i="45"/>
  <c r="I98" i="45"/>
  <c r="H98" i="45"/>
  <c r="G98" i="45"/>
  <c r="F98" i="45"/>
  <c r="E98" i="45"/>
  <c r="D98" i="45"/>
  <c r="Q96" i="45"/>
  <c r="B96" i="45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Q94" i="45" s="1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Q89" i="45" s="1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Q78" i="45" s="1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Q76" i="45" s="1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L24" i="45" s="1"/>
  <c r="K61" i="45"/>
  <c r="J61" i="45"/>
  <c r="I61" i="45"/>
  <c r="H61" i="45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F24" i="45" s="1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K24" i="45" s="1"/>
  <c r="J36" i="45"/>
  <c r="I36" i="45"/>
  <c r="H36" i="45"/>
  <c r="H24" i="45" s="1"/>
  <c r="G36" i="45"/>
  <c r="F36" i="45"/>
  <c r="E36" i="45"/>
  <c r="D36" i="45"/>
  <c r="D24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N24" i="45" s="1"/>
  <c r="M25" i="45"/>
  <c r="L25" i="45"/>
  <c r="K25" i="45"/>
  <c r="J25" i="45"/>
  <c r="I25" i="45"/>
  <c r="H25" i="45"/>
  <c r="G25" i="45"/>
  <c r="F25" i="45"/>
  <c r="E25" i="45"/>
  <c r="D25" i="45"/>
  <c r="B25" i="45"/>
  <c r="O24" i="45"/>
  <c r="G24" i="45"/>
  <c r="N21" i="45"/>
  <c r="N22" i="45" s="1"/>
  <c r="F21" i="45"/>
  <c r="Q19" i="45"/>
  <c r="B19" i="45"/>
  <c r="Q18" i="45"/>
  <c r="B18" i="45"/>
  <c r="Q17" i="45"/>
  <c r="B17" i="45"/>
  <c r="Q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M14" i="45"/>
  <c r="L14" i="45"/>
  <c r="K14" i="45"/>
  <c r="J14" i="45"/>
  <c r="I14" i="45"/>
  <c r="H14" i="45"/>
  <c r="Q14" i="45" s="1"/>
  <c r="G14" i="45"/>
  <c r="F14" i="45"/>
  <c r="E14" i="45"/>
  <c r="D14" i="45"/>
  <c r="B14" i="45"/>
  <c r="M13" i="45"/>
  <c r="L13" i="45"/>
  <c r="K13" i="45"/>
  <c r="J13" i="45"/>
  <c r="I13" i="45"/>
  <c r="H13" i="45"/>
  <c r="Q13" i="45" s="1"/>
  <c r="G13" i="45"/>
  <c r="F13" i="45"/>
  <c r="E13" i="45"/>
  <c r="D13" i="45"/>
  <c r="B13" i="45"/>
  <c r="M12" i="45"/>
  <c r="L12" i="45"/>
  <c r="K12" i="45"/>
  <c r="J12" i="45"/>
  <c r="I12" i="45"/>
  <c r="H12" i="45"/>
  <c r="Q12" i="45" s="1"/>
  <c r="G12" i="45"/>
  <c r="F12" i="45"/>
  <c r="E12" i="45"/>
  <c r="D12" i="45"/>
  <c r="B12" i="45"/>
  <c r="M11" i="45"/>
  <c r="L11" i="45"/>
  <c r="L10" i="45" s="1"/>
  <c r="L21" i="45" s="1"/>
  <c r="K11" i="45"/>
  <c r="K10" i="45" s="1"/>
  <c r="K21" i="45" s="1"/>
  <c r="K22" i="45" s="1"/>
  <c r="J11" i="45"/>
  <c r="J10" i="45" s="1"/>
  <c r="J21" i="45" s="1"/>
  <c r="I11" i="45"/>
  <c r="H11" i="45"/>
  <c r="G11" i="45"/>
  <c r="G10" i="45" s="1"/>
  <c r="G21" i="45" s="1"/>
  <c r="F11" i="45"/>
  <c r="E11" i="45"/>
  <c r="D11" i="45"/>
  <c r="B11" i="45"/>
  <c r="O10" i="45"/>
  <c r="N10" i="45"/>
  <c r="M10" i="45"/>
  <c r="M21" i="45" s="1"/>
  <c r="I10" i="45"/>
  <c r="F10" i="45"/>
  <c r="E10" i="45"/>
  <c r="E21" i="45" s="1"/>
  <c r="D10" i="45"/>
  <c r="D21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7" i="42"/>
  <c r="M112" i="42"/>
  <c r="L112" i="42"/>
  <c r="K112" i="42"/>
  <c r="J112" i="42"/>
  <c r="I112" i="42"/>
  <c r="H112" i="42"/>
  <c r="G112" i="42"/>
  <c r="F112" i="42"/>
  <c r="E112" i="42"/>
  <c r="D112" i="42"/>
  <c r="Q110" i="42"/>
  <c r="B110" i="42"/>
  <c r="O109" i="42"/>
  <c r="N109" i="42"/>
  <c r="M109" i="42"/>
  <c r="L109" i="42"/>
  <c r="K109" i="42"/>
  <c r="J109" i="42"/>
  <c r="I109" i="42"/>
  <c r="H109" i="42"/>
  <c r="G109" i="42"/>
  <c r="F109" i="42"/>
  <c r="E109" i="42"/>
  <c r="D109" i="42"/>
  <c r="Q109" i="42" s="1"/>
  <c r="B109" i="42"/>
  <c r="Q108" i="42"/>
  <c r="B108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Q107" i="42" s="1"/>
  <c r="B107" i="42"/>
  <c r="Q106" i="42"/>
  <c r="B106" i="42"/>
  <c r="O105" i="42"/>
  <c r="N105" i="42"/>
  <c r="M105" i="42"/>
  <c r="L105" i="42"/>
  <c r="K105" i="42"/>
  <c r="J105" i="42"/>
  <c r="I105" i="42"/>
  <c r="H105" i="42"/>
  <c r="G105" i="42"/>
  <c r="F105" i="42"/>
  <c r="E105" i="42"/>
  <c r="D105" i="42"/>
  <c r="Q105" i="42" s="1"/>
  <c r="B105" i="42"/>
  <c r="Q104" i="42"/>
  <c r="B104" i="42"/>
  <c r="Q103" i="42"/>
  <c r="B103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Q102" i="42" s="1"/>
  <c r="B102" i="42"/>
  <c r="Q101" i="42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O91" i="42"/>
  <c r="N91" i="42"/>
  <c r="M91" i="42"/>
  <c r="L91" i="42"/>
  <c r="K91" i="42"/>
  <c r="J91" i="42"/>
  <c r="I91" i="42"/>
  <c r="H91" i="42"/>
  <c r="G91" i="42"/>
  <c r="F91" i="42"/>
  <c r="E91" i="42"/>
  <c r="D91" i="42"/>
  <c r="Q91" i="42" s="1"/>
  <c r="B91" i="42"/>
  <c r="Q90" i="42"/>
  <c r="B90" i="42"/>
  <c r="O89" i="42"/>
  <c r="N89" i="42"/>
  <c r="M89" i="42"/>
  <c r="L89" i="42"/>
  <c r="K89" i="42"/>
  <c r="J89" i="42"/>
  <c r="I89" i="42"/>
  <c r="H89" i="42"/>
  <c r="G89" i="42"/>
  <c r="F89" i="42"/>
  <c r="E89" i="42"/>
  <c r="D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Q83" i="42" s="1"/>
  <c r="B83" i="42"/>
  <c r="Q82" i="42"/>
  <c r="B82" i="42"/>
  <c r="Q81" i="42"/>
  <c r="B81" i="42"/>
  <c r="O80" i="42"/>
  <c r="N80" i="42"/>
  <c r="M80" i="42"/>
  <c r="L80" i="42"/>
  <c r="K80" i="42"/>
  <c r="J80" i="42"/>
  <c r="I80" i="42"/>
  <c r="H80" i="42"/>
  <c r="G80" i="42"/>
  <c r="F80" i="42"/>
  <c r="E80" i="42"/>
  <c r="D80" i="42"/>
  <c r="Q80" i="42" s="1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Q73" i="42" s="1"/>
  <c r="B73" i="42"/>
  <c r="Q72" i="42"/>
  <c r="B72" i="42"/>
  <c r="O71" i="42"/>
  <c r="N71" i="42"/>
  <c r="M71" i="42"/>
  <c r="L71" i="42"/>
  <c r="K71" i="42"/>
  <c r="J71" i="42"/>
  <c r="I71" i="42"/>
  <c r="H71" i="42"/>
  <c r="G71" i="42"/>
  <c r="F71" i="42"/>
  <c r="E71" i="42"/>
  <c r="D71" i="42"/>
  <c r="B71" i="42"/>
  <c r="Q70" i="42"/>
  <c r="B70" i="42"/>
  <c r="O69" i="42"/>
  <c r="N69" i="42"/>
  <c r="M69" i="42"/>
  <c r="L69" i="42"/>
  <c r="L27" i="42" s="1"/>
  <c r="K69" i="42"/>
  <c r="J69" i="42"/>
  <c r="I69" i="42"/>
  <c r="H69" i="42"/>
  <c r="G69" i="42"/>
  <c r="F69" i="42"/>
  <c r="E69" i="42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Q67" i="42" s="1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J27" i="42" s="1"/>
  <c r="I63" i="42"/>
  <c r="H63" i="42"/>
  <c r="G63" i="42"/>
  <c r="F63" i="42"/>
  <c r="E63" i="42"/>
  <c r="D63" i="42"/>
  <c r="B63" i="42"/>
  <c r="Q62" i="42"/>
  <c r="B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Q59" i="42" s="1"/>
  <c r="B59" i="42"/>
  <c r="Q58" i="42"/>
  <c r="B58" i="42"/>
  <c r="Q57" i="42"/>
  <c r="B57" i="42"/>
  <c r="Q56" i="42"/>
  <c r="B56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Q55" i="42" s="1"/>
  <c r="B55" i="42"/>
  <c r="Q54" i="42"/>
  <c r="B54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Q53" i="42" s="1"/>
  <c r="B53" i="42"/>
  <c r="Q52" i="42"/>
  <c r="B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B51" i="42"/>
  <c r="Q50" i="42"/>
  <c r="B50" i="42"/>
  <c r="O49" i="42"/>
  <c r="N49" i="42"/>
  <c r="M49" i="42"/>
  <c r="L49" i="42"/>
  <c r="K49" i="42"/>
  <c r="J49" i="42"/>
  <c r="I49" i="42"/>
  <c r="I27" i="42" s="1"/>
  <c r="H49" i="42"/>
  <c r="G49" i="42"/>
  <c r="F49" i="42"/>
  <c r="E49" i="42"/>
  <c r="D49" i="42"/>
  <c r="Q49" i="42" s="1"/>
  <c r="B49" i="42"/>
  <c r="Q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O38" i="42"/>
  <c r="N38" i="42"/>
  <c r="M38" i="42"/>
  <c r="L38" i="42"/>
  <c r="K38" i="42"/>
  <c r="K27" i="42" s="1"/>
  <c r="J38" i="42"/>
  <c r="I38" i="42"/>
  <c r="H38" i="42"/>
  <c r="G38" i="42"/>
  <c r="F38" i="42"/>
  <c r="E38" i="42"/>
  <c r="D38" i="42"/>
  <c r="B38" i="42"/>
  <c r="Q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O28" i="42"/>
  <c r="O27" i="42" s="1"/>
  <c r="N28" i="42"/>
  <c r="M28" i="42"/>
  <c r="M27" i="42" s="1"/>
  <c r="L28" i="42"/>
  <c r="K28" i="42"/>
  <c r="J28" i="42"/>
  <c r="I28" i="42"/>
  <c r="H28" i="42"/>
  <c r="G28" i="42"/>
  <c r="G27" i="42" s="1"/>
  <c r="F28" i="42"/>
  <c r="E28" i="42"/>
  <c r="D28" i="42"/>
  <c r="Q28" i="42" s="1"/>
  <c r="B28" i="42"/>
  <c r="E27" i="42"/>
  <c r="N24" i="42"/>
  <c r="Q22" i="42"/>
  <c r="B22" i="42"/>
  <c r="Q21" i="42"/>
  <c r="B21" i="42"/>
  <c r="Q20" i="42"/>
  <c r="Q19" i="42" s="1"/>
  <c r="B20" i="42"/>
  <c r="O19" i="42"/>
  <c r="N19" i="42"/>
  <c r="M19" i="42"/>
  <c r="L19" i="42"/>
  <c r="K19" i="42"/>
  <c r="J19" i="42"/>
  <c r="I19" i="42"/>
  <c r="I24" i="42" s="1"/>
  <c r="H19" i="42"/>
  <c r="G19" i="42"/>
  <c r="G24" i="42" s="1"/>
  <c r="F19" i="42"/>
  <c r="E19" i="42"/>
  <c r="D19" i="42"/>
  <c r="M17" i="42"/>
  <c r="L17" i="42"/>
  <c r="K17" i="42"/>
  <c r="J17" i="42"/>
  <c r="I17" i="42"/>
  <c r="H17" i="42"/>
  <c r="G17" i="42"/>
  <c r="F17" i="42"/>
  <c r="E17" i="42"/>
  <c r="D17" i="42"/>
  <c r="B17" i="42"/>
  <c r="M16" i="42"/>
  <c r="L16" i="42"/>
  <c r="K16" i="42"/>
  <c r="J16" i="42"/>
  <c r="I16" i="42"/>
  <c r="H16" i="42"/>
  <c r="G16" i="42"/>
  <c r="F16" i="42"/>
  <c r="E16" i="42"/>
  <c r="Q16" i="42" s="1"/>
  <c r="D16" i="42"/>
  <c r="B16" i="42"/>
  <c r="M15" i="42"/>
  <c r="L15" i="42"/>
  <c r="K15" i="42"/>
  <c r="J15" i="42"/>
  <c r="I15" i="42"/>
  <c r="H15" i="42"/>
  <c r="G15" i="42"/>
  <c r="F15" i="42"/>
  <c r="E15" i="42"/>
  <c r="Q15" i="42" s="1"/>
  <c r="D15" i="42"/>
  <c r="B15" i="42"/>
  <c r="M14" i="42"/>
  <c r="L14" i="42"/>
  <c r="K14" i="42"/>
  <c r="J14" i="42"/>
  <c r="I14" i="42"/>
  <c r="H14" i="42"/>
  <c r="G14" i="42"/>
  <c r="F14" i="42"/>
  <c r="E14" i="42"/>
  <c r="Q14" i="42" s="1"/>
  <c r="D14" i="42"/>
  <c r="B14" i="42"/>
  <c r="M13" i="42"/>
  <c r="L13" i="42"/>
  <c r="K13" i="42"/>
  <c r="J13" i="42"/>
  <c r="I13" i="42"/>
  <c r="H13" i="42"/>
  <c r="G13" i="42"/>
  <c r="F13" i="42"/>
  <c r="E13" i="42"/>
  <c r="Q13" i="42" s="1"/>
  <c r="D13" i="42"/>
  <c r="B13" i="42"/>
  <c r="M12" i="42"/>
  <c r="L12" i="42"/>
  <c r="K12" i="42"/>
  <c r="J12" i="42"/>
  <c r="I12" i="42"/>
  <c r="H12" i="42"/>
  <c r="G12" i="42"/>
  <c r="F12" i="42"/>
  <c r="E12" i="42"/>
  <c r="D12" i="42"/>
  <c r="B12" i="42"/>
  <c r="M11" i="42"/>
  <c r="M10" i="42" s="1"/>
  <c r="M24" i="42" s="1"/>
  <c r="L11" i="42"/>
  <c r="L10" i="42" s="1"/>
  <c r="L24" i="42" s="1"/>
  <c r="K11" i="42"/>
  <c r="K10" i="42" s="1"/>
  <c r="K24" i="42" s="1"/>
  <c r="K114" i="42" s="1"/>
  <c r="K115" i="42" s="1"/>
  <c r="J11" i="42"/>
  <c r="I11" i="42"/>
  <c r="H11" i="42"/>
  <c r="H10" i="42" s="1"/>
  <c r="H24" i="42" s="1"/>
  <c r="G11" i="42"/>
  <c r="F11" i="42"/>
  <c r="E11" i="42"/>
  <c r="E10" i="42" s="1"/>
  <c r="E24" i="42" s="1"/>
  <c r="D11" i="42"/>
  <c r="B11" i="42"/>
  <c r="O10" i="42"/>
  <c r="O24" i="42" s="1"/>
  <c r="N10" i="42"/>
  <c r="J10" i="42"/>
  <c r="J24" i="42" s="1"/>
  <c r="I10" i="42"/>
  <c r="G10" i="42"/>
  <c r="D10" i="42"/>
  <c r="D24" i="42" s="1"/>
  <c r="O8" i="42"/>
  <c r="N8" i="42"/>
  <c r="M8" i="42"/>
  <c r="L8" i="42"/>
  <c r="K8" i="42"/>
  <c r="J8" i="42"/>
  <c r="I8" i="42"/>
  <c r="H8" i="42"/>
  <c r="G8" i="42"/>
  <c r="F8" i="42"/>
  <c r="E8" i="42"/>
  <c r="D8" i="42"/>
  <c r="Q124" i="39"/>
  <c r="Q119" i="39"/>
  <c r="M119" i="39"/>
  <c r="L119" i="39"/>
  <c r="K119" i="39"/>
  <c r="J119" i="39"/>
  <c r="I119" i="39"/>
  <c r="H119" i="39"/>
  <c r="G119" i="39"/>
  <c r="F119" i="39"/>
  <c r="E119" i="39"/>
  <c r="D119" i="39"/>
  <c r="Q117" i="39"/>
  <c r="B117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B116" i="39"/>
  <c r="Q115" i="39"/>
  <c r="B115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B114" i="39"/>
  <c r="Q113" i="39"/>
  <c r="B113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B112" i="39"/>
  <c r="Q111" i="39"/>
  <c r="B111" i="39"/>
  <c r="Q110" i="39"/>
  <c r="B110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Q109" i="39" s="1"/>
  <c r="B109" i="39"/>
  <c r="Q108" i="39"/>
  <c r="B108" i="39"/>
  <c r="Q107" i="39"/>
  <c r="B107" i="39"/>
  <c r="Q106" i="39"/>
  <c r="B106" i="39"/>
  <c r="Q105" i="39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Q98" i="39" s="1"/>
  <c r="B98" i="39"/>
  <c r="Q97" i="39"/>
  <c r="B97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Q96" i="39" s="1"/>
  <c r="B96" i="39"/>
  <c r="Q95" i="39"/>
  <c r="B95" i="39"/>
  <c r="Q94" i="39"/>
  <c r="B94" i="39"/>
  <c r="Q93" i="39"/>
  <c r="B93" i="39"/>
  <c r="Q92" i="39"/>
  <c r="B92" i="39"/>
  <c r="Q91" i="39"/>
  <c r="B91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Q90" i="39" s="1"/>
  <c r="B90" i="39"/>
  <c r="Q89" i="39"/>
  <c r="B89" i="39"/>
  <c r="Q88" i="39"/>
  <c r="B88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B87" i="39"/>
  <c r="Q86" i="39"/>
  <c r="B86" i="39"/>
  <c r="Q85" i="39"/>
  <c r="B85" i="39"/>
  <c r="Q84" i="39"/>
  <c r="B84" i="39"/>
  <c r="Q83" i="39"/>
  <c r="B83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Q82" i="39" s="1"/>
  <c r="B82" i="39"/>
  <c r="Q81" i="39"/>
  <c r="B81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B72" i="39"/>
  <c r="Q71" i="39"/>
  <c r="B71" i="39"/>
  <c r="Q70" i="39"/>
  <c r="B70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B69" i="39"/>
  <c r="Q68" i="39"/>
  <c r="B68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Q67" i="39" s="1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Q65" i="39" s="1"/>
  <c r="B65" i="39"/>
  <c r="Q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Q61" i="39" s="1"/>
  <c r="B61" i="39"/>
  <c r="Q60" i="39"/>
  <c r="B60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Q59" i="39" s="1"/>
  <c r="B59" i="39"/>
  <c r="Q58" i="39"/>
  <c r="B58" i="39"/>
  <c r="O57" i="39"/>
  <c r="N57" i="39"/>
  <c r="M57" i="39"/>
  <c r="M33" i="39" s="1"/>
  <c r="M121" i="39" s="1"/>
  <c r="L57" i="39"/>
  <c r="K57" i="39"/>
  <c r="J57" i="39"/>
  <c r="I57" i="39"/>
  <c r="H57" i="39"/>
  <c r="H33" i="39" s="1"/>
  <c r="G57" i="39"/>
  <c r="F57" i="39"/>
  <c r="E57" i="39"/>
  <c r="D57" i="39"/>
  <c r="B57" i="39"/>
  <c r="Q56" i="39"/>
  <c r="B56" i="39"/>
  <c r="O55" i="39"/>
  <c r="N55" i="39"/>
  <c r="M55" i="39"/>
  <c r="L55" i="39"/>
  <c r="L33" i="39" s="1"/>
  <c r="K55" i="39"/>
  <c r="J55" i="39"/>
  <c r="I55" i="39"/>
  <c r="H55" i="39"/>
  <c r="G55" i="39"/>
  <c r="F55" i="39"/>
  <c r="E55" i="39"/>
  <c r="D55" i="39"/>
  <c r="D33" i="39" s="1"/>
  <c r="B55" i="39"/>
  <c r="Q54" i="39"/>
  <c r="B54" i="39"/>
  <c r="Q53" i="39"/>
  <c r="B53" i="39"/>
  <c r="Q52" i="39"/>
  <c r="B52" i="39"/>
  <c r="Q51" i="39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O44" i="39"/>
  <c r="O33" i="39" s="1"/>
  <c r="N44" i="39"/>
  <c r="M44" i="39"/>
  <c r="L44" i="39"/>
  <c r="K44" i="39"/>
  <c r="J44" i="39"/>
  <c r="I44" i="39"/>
  <c r="H44" i="39"/>
  <c r="G44" i="39"/>
  <c r="F44" i="39"/>
  <c r="E44" i="39"/>
  <c r="D44" i="39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Q37" i="39"/>
  <c r="B37" i="39"/>
  <c r="Q36" i="39"/>
  <c r="B36" i="39"/>
  <c r="Q35" i="39"/>
  <c r="B35" i="39"/>
  <c r="O34" i="39"/>
  <c r="N34" i="39"/>
  <c r="M34" i="39"/>
  <c r="L34" i="39"/>
  <c r="K34" i="39"/>
  <c r="J34" i="39"/>
  <c r="I34" i="39"/>
  <c r="H34" i="39"/>
  <c r="G34" i="39"/>
  <c r="F34" i="39"/>
  <c r="F33" i="39" s="1"/>
  <c r="E34" i="39"/>
  <c r="D34" i="39"/>
  <c r="Q34" i="39" s="1"/>
  <c r="B34" i="39"/>
  <c r="O30" i="39"/>
  <c r="O31" i="39" s="1"/>
  <c r="N30" i="39"/>
  <c r="E30" i="39"/>
  <c r="Q28" i="39"/>
  <c r="B28" i="39"/>
  <c r="Q27" i="39"/>
  <c r="B27" i="39"/>
  <c r="Q26" i="39"/>
  <c r="Q25" i="39" s="1"/>
  <c r="B26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M23" i="39"/>
  <c r="L23" i="39"/>
  <c r="K23" i="39"/>
  <c r="J23" i="39"/>
  <c r="I23" i="39"/>
  <c r="H23" i="39"/>
  <c r="G23" i="39"/>
  <c r="F23" i="39"/>
  <c r="E23" i="39"/>
  <c r="D23" i="39"/>
  <c r="B23" i="39"/>
  <c r="M22" i="39"/>
  <c r="L22" i="39"/>
  <c r="K22" i="39"/>
  <c r="J22" i="39"/>
  <c r="I22" i="39"/>
  <c r="H22" i="39"/>
  <c r="G22" i="39"/>
  <c r="F22" i="39"/>
  <c r="E22" i="39"/>
  <c r="D22" i="39"/>
  <c r="B22" i="39"/>
  <c r="M21" i="39"/>
  <c r="L21" i="39"/>
  <c r="K21" i="39"/>
  <c r="J21" i="39"/>
  <c r="I21" i="39"/>
  <c r="H21" i="39"/>
  <c r="G21" i="39"/>
  <c r="F21" i="39"/>
  <c r="E21" i="39"/>
  <c r="D21" i="39"/>
  <c r="B21" i="39"/>
  <c r="M20" i="39"/>
  <c r="L20" i="39"/>
  <c r="K20" i="39"/>
  <c r="J20" i="39"/>
  <c r="I20" i="39"/>
  <c r="H20" i="39"/>
  <c r="G20" i="39"/>
  <c r="F20" i="39"/>
  <c r="E20" i="39"/>
  <c r="D20" i="39"/>
  <c r="B20" i="39"/>
  <c r="M19" i="39"/>
  <c r="L19" i="39"/>
  <c r="K19" i="39"/>
  <c r="J19" i="39"/>
  <c r="I19" i="39"/>
  <c r="H19" i="39"/>
  <c r="G19" i="39"/>
  <c r="F19" i="39"/>
  <c r="E19" i="39"/>
  <c r="D19" i="39"/>
  <c r="B19" i="39"/>
  <c r="M18" i="39"/>
  <c r="L18" i="39"/>
  <c r="K18" i="39"/>
  <c r="J18" i="39"/>
  <c r="I18" i="39"/>
  <c r="H18" i="39"/>
  <c r="G18" i="39"/>
  <c r="F18" i="39"/>
  <c r="E18" i="39"/>
  <c r="D18" i="39"/>
  <c r="Q18" i="39" s="1"/>
  <c r="B18" i="39"/>
  <c r="M17" i="39"/>
  <c r="L17" i="39"/>
  <c r="K17" i="39"/>
  <c r="J17" i="39"/>
  <c r="I17" i="39"/>
  <c r="H17" i="39"/>
  <c r="G17" i="39"/>
  <c r="F17" i="39"/>
  <c r="E17" i="39"/>
  <c r="D17" i="39"/>
  <c r="Q17" i="39" s="1"/>
  <c r="B17" i="39"/>
  <c r="M16" i="39"/>
  <c r="L16" i="39"/>
  <c r="K16" i="39"/>
  <c r="J16" i="39"/>
  <c r="I16" i="39"/>
  <c r="H16" i="39"/>
  <c r="G16" i="39"/>
  <c r="F16" i="39"/>
  <c r="E16" i="39"/>
  <c r="D16" i="39"/>
  <c r="B16" i="39"/>
  <c r="M15" i="39"/>
  <c r="L15" i="39"/>
  <c r="K15" i="39"/>
  <c r="J15" i="39"/>
  <c r="I15" i="39"/>
  <c r="H15" i="39"/>
  <c r="G15" i="39"/>
  <c r="F15" i="39"/>
  <c r="E15" i="39"/>
  <c r="D15" i="39"/>
  <c r="Q15" i="39" s="1"/>
  <c r="B15" i="39"/>
  <c r="M14" i="39"/>
  <c r="L14" i="39"/>
  <c r="K14" i="39"/>
  <c r="J14" i="39"/>
  <c r="I14" i="39"/>
  <c r="H14" i="39"/>
  <c r="G14" i="39"/>
  <c r="F14" i="39"/>
  <c r="E14" i="39"/>
  <c r="D14" i="39"/>
  <c r="Q14" i="39" s="1"/>
  <c r="B14" i="39"/>
  <c r="M13" i="39"/>
  <c r="L13" i="39"/>
  <c r="K13" i="39"/>
  <c r="J13" i="39"/>
  <c r="I13" i="39"/>
  <c r="H13" i="39"/>
  <c r="G13" i="39"/>
  <c r="F13" i="39"/>
  <c r="E13" i="39"/>
  <c r="D13" i="39"/>
  <c r="B13" i="39"/>
  <c r="M12" i="39"/>
  <c r="L12" i="39"/>
  <c r="K12" i="39"/>
  <c r="K10" i="39" s="1"/>
  <c r="K30" i="39" s="1"/>
  <c r="J12" i="39"/>
  <c r="I12" i="39"/>
  <c r="H12" i="39"/>
  <c r="G12" i="39"/>
  <c r="F12" i="39"/>
  <c r="E12" i="39"/>
  <c r="D12" i="39"/>
  <c r="B12" i="39"/>
  <c r="M11" i="39"/>
  <c r="L11" i="39"/>
  <c r="L10" i="39" s="1"/>
  <c r="K11" i="39"/>
  <c r="J11" i="39"/>
  <c r="I11" i="39"/>
  <c r="H11" i="39"/>
  <c r="G11" i="39"/>
  <c r="F11" i="39"/>
  <c r="E11" i="39"/>
  <c r="D11" i="39"/>
  <c r="B11" i="39"/>
  <c r="O10" i="39"/>
  <c r="N10" i="39"/>
  <c r="M10" i="39"/>
  <c r="M30" i="39" s="1"/>
  <c r="M31" i="39" s="1"/>
  <c r="J10" i="39"/>
  <c r="J30" i="39" s="1"/>
  <c r="G10" i="39"/>
  <c r="G30" i="39" s="1"/>
  <c r="F10" i="39"/>
  <c r="F30" i="39" s="1"/>
  <c r="E10" i="39"/>
  <c r="O8" i="39"/>
  <c r="N8" i="39"/>
  <c r="M8" i="39"/>
  <c r="L8" i="39"/>
  <c r="K8" i="39"/>
  <c r="J8" i="39"/>
  <c r="I8" i="39"/>
  <c r="H8" i="39"/>
  <c r="G8" i="39"/>
  <c r="F8" i="39"/>
  <c r="E8" i="39"/>
  <c r="D8" i="39"/>
  <c r="Q126" i="36"/>
  <c r="Q121" i="36"/>
  <c r="M121" i="36"/>
  <c r="L121" i="36"/>
  <c r="K121" i="36"/>
  <c r="J121" i="36"/>
  <c r="I121" i="36"/>
  <c r="H121" i="36"/>
  <c r="G121" i="36"/>
  <c r="F121" i="36"/>
  <c r="E121" i="36"/>
  <c r="D121" i="36"/>
  <c r="Q119" i="36"/>
  <c r="B119" i="36"/>
  <c r="O118" i="36"/>
  <c r="N118" i="36"/>
  <c r="M118" i="36"/>
  <c r="L118" i="36"/>
  <c r="K118" i="36"/>
  <c r="J118" i="36"/>
  <c r="I118" i="36"/>
  <c r="H118" i="36"/>
  <c r="G118" i="36"/>
  <c r="F118" i="36"/>
  <c r="E118" i="36"/>
  <c r="D118" i="36"/>
  <c r="B118" i="36"/>
  <c r="Q117" i="36"/>
  <c r="B117" i="36"/>
  <c r="Q116" i="36"/>
  <c r="B116" i="36"/>
  <c r="Q115" i="36"/>
  <c r="B115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B114" i="36"/>
  <c r="Q113" i="36"/>
  <c r="B113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B112" i="36"/>
  <c r="Q111" i="36"/>
  <c r="B111" i="36"/>
  <c r="Q110" i="36"/>
  <c r="B110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B109" i="36"/>
  <c r="Q108" i="36"/>
  <c r="B108" i="36"/>
  <c r="Q107" i="36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B97" i="36"/>
  <c r="Q96" i="36"/>
  <c r="B96" i="36"/>
  <c r="Q95" i="36"/>
  <c r="B95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B94" i="36"/>
  <c r="Q93" i="36"/>
  <c r="B93" i="36"/>
  <c r="Q92" i="36"/>
  <c r="B92" i="36"/>
  <c r="Q91" i="36"/>
  <c r="B91" i="36"/>
  <c r="Q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B88" i="36"/>
  <c r="Q87" i="36"/>
  <c r="B87" i="36"/>
  <c r="Q86" i="36"/>
  <c r="B86" i="36"/>
  <c r="O85" i="36"/>
  <c r="N85" i="36"/>
  <c r="M85" i="36"/>
  <c r="L85" i="36"/>
  <c r="K85" i="36"/>
  <c r="J85" i="36"/>
  <c r="I85" i="36"/>
  <c r="H85" i="36"/>
  <c r="G85" i="36"/>
  <c r="G29" i="36" s="1"/>
  <c r="F85" i="36"/>
  <c r="E85" i="36"/>
  <c r="D85" i="36"/>
  <c r="Q85" i="36" s="1"/>
  <c r="B85" i="36"/>
  <c r="Q84" i="36"/>
  <c r="B84" i="36"/>
  <c r="Q83" i="36"/>
  <c r="B83" i="36"/>
  <c r="Q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B80" i="36"/>
  <c r="Q79" i="36"/>
  <c r="B79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Q78" i="36" s="1"/>
  <c r="B78" i="36"/>
  <c r="Q77" i="36"/>
  <c r="B77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B76" i="36"/>
  <c r="Q75" i="36"/>
  <c r="B75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B74" i="36"/>
  <c r="Q73" i="36"/>
  <c r="B73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Q72" i="36" s="1"/>
  <c r="B72" i="36"/>
  <c r="Q71" i="36"/>
  <c r="B71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B70" i="36"/>
  <c r="Q69" i="36"/>
  <c r="B69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B68" i="36"/>
  <c r="Q67" i="36"/>
  <c r="B67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Q66" i="36" s="1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Q60" i="36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Q58" i="36" s="1"/>
  <c r="B58" i="36"/>
  <c r="Q57" i="36"/>
  <c r="B57" i="36"/>
  <c r="O56" i="36"/>
  <c r="N56" i="36"/>
  <c r="M56" i="36"/>
  <c r="L56" i="36"/>
  <c r="K56" i="36"/>
  <c r="J56" i="36"/>
  <c r="J29" i="36" s="1"/>
  <c r="I56" i="36"/>
  <c r="H56" i="36"/>
  <c r="G56" i="36"/>
  <c r="F56" i="36"/>
  <c r="E56" i="36"/>
  <c r="D56" i="36"/>
  <c r="B56" i="36"/>
  <c r="Q55" i="36"/>
  <c r="B55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Q54" i="36" s="1"/>
  <c r="B54" i="36"/>
  <c r="Q53" i="36"/>
  <c r="B53" i="36"/>
  <c r="O52" i="36"/>
  <c r="N52" i="36"/>
  <c r="M52" i="36"/>
  <c r="L52" i="36"/>
  <c r="K52" i="36"/>
  <c r="J52" i="36"/>
  <c r="I52" i="36"/>
  <c r="H52" i="36"/>
  <c r="G52" i="36"/>
  <c r="F52" i="36"/>
  <c r="E52" i="36"/>
  <c r="D52" i="36"/>
  <c r="B52" i="36"/>
  <c r="Q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O41" i="36"/>
  <c r="N41" i="36"/>
  <c r="M41" i="36"/>
  <c r="L41" i="36"/>
  <c r="K41" i="36"/>
  <c r="K29" i="36" s="1"/>
  <c r="J41" i="36"/>
  <c r="I41" i="36"/>
  <c r="H41" i="36"/>
  <c r="G41" i="36"/>
  <c r="F41" i="36"/>
  <c r="E41" i="36"/>
  <c r="D41" i="36"/>
  <c r="Q41" i="36" s="1"/>
  <c r="B41" i="36"/>
  <c r="Q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O30" i="36"/>
  <c r="N30" i="36"/>
  <c r="M30" i="36"/>
  <c r="M29" i="36" s="1"/>
  <c r="L30" i="36"/>
  <c r="K30" i="36"/>
  <c r="J30" i="36"/>
  <c r="I30" i="36"/>
  <c r="H30" i="36"/>
  <c r="G30" i="36"/>
  <c r="F30" i="36"/>
  <c r="E30" i="36"/>
  <c r="D30" i="36"/>
  <c r="Q30" i="36" s="1"/>
  <c r="B30" i="36"/>
  <c r="O29" i="36"/>
  <c r="F29" i="36"/>
  <c r="D29" i="36"/>
  <c r="O26" i="36"/>
  <c r="N26" i="36"/>
  <c r="N27" i="36" s="1"/>
  <c r="M26" i="36"/>
  <c r="Q24" i="36"/>
  <c r="B24" i="36"/>
  <c r="Q23" i="36"/>
  <c r="B23" i="36"/>
  <c r="Q22" i="36"/>
  <c r="Q21" i="36" s="1"/>
  <c r="B22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M19" i="36"/>
  <c r="L19" i="36"/>
  <c r="K19" i="36"/>
  <c r="J19" i="36"/>
  <c r="I19" i="36"/>
  <c r="H19" i="36"/>
  <c r="G19" i="36"/>
  <c r="F19" i="36"/>
  <c r="E19" i="36"/>
  <c r="D19" i="36"/>
  <c r="B19" i="36"/>
  <c r="M18" i="36"/>
  <c r="L18" i="36"/>
  <c r="K18" i="36"/>
  <c r="J18" i="36"/>
  <c r="I18" i="36"/>
  <c r="H18" i="36"/>
  <c r="G18" i="36"/>
  <c r="F18" i="36"/>
  <c r="E18" i="36"/>
  <c r="Q18" i="36" s="1"/>
  <c r="D18" i="36"/>
  <c r="B18" i="36"/>
  <c r="M17" i="36"/>
  <c r="L17" i="36"/>
  <c r="K17" i="36"/>
  <c r="J17" i="36"/>
  <c r="I17" i="36"/>
  <c r="H17" i="36"/>
  <c r="G17" i="36"/>
  <c r="F17" i="36"/>
  <c r="E17" i="36"/>
  <c r="Q17" i="36" s="1"/>
  <c r="D17" i="36"/>
  <c r="B17" i="36"/>
  <c r="M16" i="36"/>
  <c r="L16" i="36"/>
  <c r="K16" i="36"/>
  <c r="J16" i="36"/>
  <c r="I16" i="36"/>
  <c r="H16" i="36"/>
  <c r="G16" i="36"/>
  <c r="F16" i="36"/>
  <c r="E16" i="36"/>
  <c r="Q16" i="36" s="1"/>
  <c r="D16" i="36"/>
  <c r="B16" i="36"/>
  <c r="M15" i="36"/>
  <c r="L15" i="36"/>
  <c r="K15" i="36"/>
  <c r="J15" i="36"/>
  <c r="I15" i="36"/>
  <c r="H15" i="36"/>
  <c r="G15" i="36"/>
  <c r="F15" i="36"/>
  <c r="E15" i="36"/>
  <c r="D15" i="36"/>
  <c r="B15" i="36"/>
  <c r="M14" i="36"/>
  <c r="L14" i="36"/>
  <c r="K14" i="36"/>
  <c r="J14" i="36"/>
  <c r="I14" i="36"/>
  <c r="H14" i="36"/>
  <c r="G14" i="36"/>
  <c r="F14" i="36"/>
  <c r="E14" i="36"/>
  <c r="D14" i="36"/>
  <c r="B14" i="36"/>
  <c r="M13" i="36"/>
  <c r="L13" i="36"/>
  <c r="K13" i="36"/>
  <c r="J13" i="36"/>
  <c r="I13" i="36"/>
  <c r="H13" i="36"/>
  <c r="G13" i="36"/>
  <c r="F13" i="36"/>
  <c r="E13" i="36"/>
  <c r="D13" i="36"/>
  <c r="B13" i="36"/>
  <c r="M12" i="36"/>
  <c r="L12" i="36"/>
  <c r="K12" i="36"/>
  <c r="J12" i="36"/>
  <c r="I12" i="36"/>
  <c r="H12" i="36"/>
  <c r="G12" i="36"/>
  <c r="F12" i="36"/>
  <c r="E12" i="36"/>
  <c r="Q12" i="36" s="1"/>
  <c r="D12" i="36"/>
  <c r="B12" i="36"/>
  <c r="M11" i="36"/>
  <c r="L11" i="36"/>
  <c r="L10" i="36" s="1"/>
  <c r="L26" i="36" s="1"/>
  <c r="K11" i="36"/>
  <c r="J11" i="36"/>
  <c r="I11" i="36"/>
  <c r="I10" i="36" s="1"/>
  <c r="I26" i="36" s="1"/>
  <c r="H11" i="36"/>
  <c r="H10" i="36" s="1"/>
  <c r="H26" i="36" s="1"/>
  <c r="G11" i="36"/>
  <c r="F11" i="36"/>
  <c r="E11" i="36"/>
  <c r="Q11" i="36" s="1"/>
  <c r="D11" i="36"/>
  <c r="B11" i="36"/>
  <c r="O10" i="36"/>
  <c r="N10" i="36"/>
  <c r="M10" i="36"/>
  <c r="K10" i="36"/>
  <c r="K26" i="36" s="1"/>
  <c r="J10" i="36"/>
  <c r="J26" i="36" s="1"/>
  <c r="J123" i="36" s="1"/>
  <c r="J128" i="36" s="1"/>
  <c r="J129" i="36" s="1"/>
  <c r="G10" i="36"/>
  <c r="G26" i="36" s="1"/>
  <c r="E10" i="36"/>
  <c r="E26" i="36" s="1"/>
  <c r="D10" i="36"/>
  <c r="D26" i="36" s="1"/>
  <c r="D27" i="36" s="1"/>
  <c r="O8" i="36"/>
  <c r="N8" i="36"/>
  <c r="M8" i="36"/>
  <c r="L8" i="36"/>
  <c r="K8" i="36"/>
  <c r="J8" i="36"/>
  <c r="I8" i="36"/>
  <c r="H8" i="36"/>
  <c r="G8" i="36"/>
  <c r="F8" i="36"/>
  <c r="E8" i="36"/>
  <c r="D8" i="36"/>
  <c r="Q86" i="33"/>
  <c r="M81" i="33"/>
  <c r="L81" i="33"/>
  <c r="K81" i="33"/>
  <c r="J81" i="33"/>
  <c r="I81" i="33"/>
  <c r="Q81" i="33" s="1"/>
  <c r="H81" i="33"/>
  <c r="G81" i="33"/>
  <c r="F81" i="33"/>
  <c r="E81" i="33"/>
  <c r="D81" i="33"/>
  <c r="Q79" i="33"/>
  <c r="B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B78" i="33"/>
  <c r="Q77" i="33"/>
  <c r="B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Q76" i="33" s="1"/>
  <c r="B76" i="33"/>
  <c r="Q75" i="33"/>
  <c r="B75" i="33"/>
  <c r="Q74" i="33"/>
  <c r="B74" i="33"/>
  <c r="Q73" i="33"/>
  <c r="B73" i="33"/>
  <c r="Q72" i="33"/>
  <c r="B72" i="33"/>
  <c r="Q71" i="33"/>
  <c r="B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Q70" i="33" s="1"/>
  <c r="B70" i="33"/>
  <c r="Q69" i="33"/>
  <c r="B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Q68" i="33" s="1"/>
  <c r="B68" i="33"/>
  <c r="Q67" i="33"/>
  <c r="B67" i="33"/>
  <c r="Q66" i="33"/>
  <c r="B66" i="33"/>
  <c r="Q65" i="33"/>
  <c r="B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B64" i="33"/>
  <c r="Q63" i="33"/>
  <c r="B63" i="33"/>
  <c r="Q62" i="33"/>
  <c r="B62" i="33"/>
  <c r="O61" i="33"/>
  <c r="N61" i="33"/>
  <c r="M61" i="33"/>
  <c r="L61" i="33"/>
  <c r="K61" i="33"/>
  <c r="K31" i="33" s="1"/>
  <c r="J61" i="33"/>
  <c r="I61" i="33"/>
  <c r="H61" i="33"/>
  <c r="G61" i="33"/>
  <c r="F61" i="33"/>
  <c r="E61" i="33"/>
  <c r="D61" i="33"/>
  <c r="Q61" i="33" s="1"/>
  <c r="B61" i="33"/>
  <c r="Q60" i="33"/>
  <c r="B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B59" i="33"/>
  <c r="Q58" i="33"/>
  <c r="B58" i="33"/>
  <c r="O57" i="33"/>
  <c r="N57" i="33"/>
  <c r="M57" i="33"/>
  <c r="L57" i="33"/>
  <c r="K57" i="33"/>
  <c r="J57" i="33"/>
  <c r="J31" i="33" s="1"/>
  <c r="I57" i="33"/>
  <c r="H57" i="33"/>
  <c r="G57" i="33"/>
  <c r="F57" i="33"/>
  <c r="E57" i="33"/>
  <c r="D57" i="33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Q55" i="33" s="1"/>
  <c r="B55" i="33"/>
  <c r="Q54" i="33"/>
  <c r="B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Q53" i="33" s="1"/>
  <c r="B53" i="33"/>
  <c r="Q52" i="33"/>
  <c r="B52" i="33"/>
  <c r="Q51" i="33"/>
  <c r="B51" i="33"/>
  <c r="Q50" i="33"/>
  <c r="B50" i="33"/>
  <c r="Q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O42" i="33"/>
  <c r="N42" i="33"/>
  <c r="M42" i="33"/>
  <c r="M31" i="33" s="1"/>
  <c r="L42" i="33"/>
  <c r="K42" i="33"/>
  <c r="J42" i="33"/>
  <c r="I42" i="33"/>
  <c r="H42" i="33"/>
  <c r="G42" i="33"/>
  <c r="F42" i="33"/>
  <c r="F31" i="33" s="1"/>
  <c r="E42" i="33"/>
  <c r="E31" i="33" s="1"/>
  <c r="D42" i="33"/>
  <c r="D31" i="33" s="1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Q35" i="33"/>
  <c r="B35" i="33"/>
  <c r="Q34" i="33"/>
  <c r="B34" i="33"/>
  <c r="Q33" i="33"/>
  <c r="B33" i="33"/>
  <c r="O32" i="33"/>
  <c r="N32" i="33"/>
  <c r="M32" i="33"/>
  <c r="L32" i="33"/>
  <c r="L31" i="33" s="1"/>
  <c r="K32" i="33"/>
  <c r="J32" i="33"/>
  <c r="I32" i="33"/>
  <c r="I31" i="33" s="1"/>
  <c r="H32" i="33"/>
  <c r="H31" i="33" s="1"/>
  <c r="G32" i="33"/>
  <c r="F32" i="33"/>
  <c r="E32" i="33"/>
  <c r="D32" i="33"/>
  <c r="Q32" i="33" s="1"/>
  <c r="B32" i="33"/>
  <c r="N31" i="33"/>
  <c r="N83" i="33" s="1"/>
  <c r="O29" i="33"/>
  <c r="N29" i="33"/>
  <c r="L29" i="33"/>
  <c r="O28" i="33"/>
  <c r="N28" i="33"/>
  <c r="M28" i="33"/>
  <c r="L28" i="33"/>
  <c r="Q26" i="33"/>
  <c r="B26" i="33"/>
  <c r="Q25" i="33"/>
  <c r="Q24" i="33" s="1"/>
  <c r="B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M22" i="33"/>
  <c r="L22" i="33"/>
  <c r="K22" i="33"/>
  <c r="J22" i="33"/>
  <c r="I22" i="33"/>
  <c r="H22" i="33"/>
  <c r="G22" i="33"/>
  <c r="F22" i="33"/>
  <c r="E22" i="33"/>
  <c r="D22" i="33"/>
  <c r="Q22" i="33" s="1"/>
  <c r="B22" i="33"/>
  <c r="M21" i="33"/>
  <c r="L21" i="33"/>
  <c r="K21" i="33"/>
  <c r="J21" i="33"/>
  <c r="I21" i="33"/>
  <c r="H21" i="33"/>
  <c r="G21" i="33"/>
  <c r="F21" i="33"/>
  <c r="E21" i="33"/>
  <c r="D21" i="33"/>
  <c r="Q21" i="33" s="1"/>
  <c r="B21" i="33"/>
  <c r="M20" i="33"/>
  <c r="L20" i="33"/>
  <c r="K20" i="33"/>
  <c r="J20" i="33"/>
  <c r="I20" i="33"/>
  <c r="H20" i="33"/>
  <c r="G20" i="33"/>
  <c r="F20" i="33"/>
  <c r="E20" i="33"/>
  <c r="D20" i="33"/>
  <c r="B20" i="33"/>
  <c r="M19" i="33"/>
  <c r="L19" i="33"/>
  <c r="K19" i="33"/>
  <c r="J19" i="33"/>
  <c r="I19" i="33"/>
  <c r="H19" i="33"/>
  <c r="G19" i="33"/>
  <c r="F19" i="33"/>
  <c r="E19" i="33"/>
  <c r="D19" i="33"/>
  <c r="B19" i="33"/>
  <c r="M18" i="33"/>
  <c r="L18" i="33"/>
  <c r="K18" i="33"/>
  <c r="J18" i="33"/>
  <c r="I18" i="33"/>
  <c r="H18" i="33"/>
  <c r="G18" i="33"/>
  <c r="F18" i="33"/>
  <c r="E18" i="33"/>
  <c r="D18" i="33"/>
  <c r="Q18" i="33" s="1"/>
  <c r="B18" i="33"/>
  <c r="M17" i="33"/>
  <c r="L17" i="33"/>
  <c r="K17" i="33"/>
  <c r="J17" i="33"/>
  <c r="I17" i="33"/>
  <c r="H17" i="33"/>
  <c r="G17" i="33"/>
  <c r="F17" i="33"/>
  <c r="E17" i="33"/>
  <c r="D17" i="33"/>
  <c r="B17" i="33"/>
  <c r="M16" i="33"/>
  <c r="L16" i="33"/>
  <c r="K16" i="33"/>
  <c r="J16" i="33"/>
  <c r="I16" i="33"/>
  <c r="H16" i="33"/>
  <c r="G16" i="33"/>
  <c r="F16" i="33"/>
  <c r="E16" i="33"/>
  <c r="D16" i="33"/>
  <c r="Q16" i="33" s="1"/>
  <c r="B16" i="33"/>
  <c r="M15" i="33"/>
  <c r="L15" i="33"/>
  <c r="K15" i="33"/>
  <c r="J15" i="33"/>
  <c r="I15" i="33"/>
  <c r="H15" i="33"/>
  <c r="G15" i="33"/>
  <c r="F15" i="33"/>
  <c r="E15" i="33"/>
  <c r="D15" i="33"/>
  <c r="Q15" i="33" s="1"/>
  <c r="B15" i="33"/>
  <c r="M14" i="33"/>
  <c r="L14" i="33"/>
  <c r="K14" i="33"/>
  <c r="J14" i="33"/>
  <c r="I14" i="33"/>
  <c r="H14" i="33"/>
  <c r="G14" i="33"/>
  <c r="F14" i="33"/>
  <c r="E14" i="33"/>
  <c r="D14" i="33"/>
  <c r="Q14" i="33" s="1"/>
  <c r="B14" i="33"/>
  <c r="M13" i="33"/>
  <c r="L13" i="33"/>
  <c r="K13" i="33"/>
  <c r="J13" i="33"/>
  <c r="I13" i="33"/>
  <c r="H13" i="33"/>
  <c r="G13" i="33"/>
  <c r="F13" i="33"/>
  <c r="E13" i="33"/>
  <c r="D13" i="33"/>
  <c r="B13" i="33"/>
  <c r="M12" i="33"/>
  <c r="L12" i="33"/>
  <c r="K12" i="33"/>
  <c r="J12" i="33"/>
  <c r="I12" i="33"/>
  <c r="H12" i="33"/>
  <c r="G12" i="33"/>
  <c r="F12" i="33"/>
  <c r="E12" i="33"/>
  <c r="D12" i="33"/>
  <c r="B12" i="33"/>
  <c r="M11" i="33"/>
  <c r="L11" i="33"/>
  <c r="K11" i="33"/>
  <c r="J11" i="33"/>
  <c r="I11" i="33"/>
  <c r="I10" i="33" s="1"/>
  <c r="I28" i="33" s="1"/>
  <c r="H11" i="33"/>
  <c r="H10" i="33" s="1"/>
  <c r="H28" i="33" s="1"/>
  <c r="G11" i="33"/>
  <c r="F11" i="33"/>
  <c r="E11" i="33"/>
  <c r="E10" i="33" s="1"/>
  <c r="E28" i="33" s="1"/>
  <c r="D11" i="33"/>
  <c r="B11" i="33"/>
  <c r="O10" i="33"/>
  <c r="N10" i="33"/>
  <c r="M10" i="33"/>
  <c r="L10" i="33"/>
  <c r="K10" i="33"/>
  <c r="K28" i="33" s="1"/>
  <c r="K29" i="33" s="1"/>
  <c r="J10" i="33"/>
  <c r="J28" i="33" s="1"/>
  <c r="G10" i="33"/>
  <c r="G28" i="33" s="1"/>
  <c r="F10" i="33"/>
  <c r="O8" i="33"/>
  <c r="N8" i="33"/>
  <c r="M8" i="33"/>
  <c r="L8" i="33"/>
  <c r="K8" i="33"/>
  <c r="J8" i="33"/>
  <c r="I8" i="33"/>
  <c r="H8" i="33"/>
  <c r="G8" i="33"/>
  <c r="F8" i="33"/>
  <c r="E8" i="33"/>
  <c r="D8" i="33"/>
  <c r="Q166" i="30"/>
  <c r="M161" i="30"/>
  <c r="L161" i="30"/>
  <c r="K161" i="30"/>
  <c r="Q161" i="30" s="1"/>
  <c r="J161" i="30"/>
  <c r="I161" i="30"/>
  <c r="H161" i="30"/>
  <c r="G161" i="30"/>
  <c r="F161" i="30"/>
  <c r="E161" i="30"/>
  <c r="D161" i="30"/>
  <c r="Q159" i="30"/>
  <c r="B159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B158" i="30"/>
  <c r="Q157" i="30"/>
  <c r="B157" i="30"/>
  <c r="Q156" i="30"/>
  <c r="B156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Q155" i="30" s="1"/>
  <c r="B155" i="30"/>
  <c r="Q154" i="30"/>
  <c r="B154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Q153" i="30" s="1"/>
  <c r="B153" i="30"/>
  <c r="Q152" i="30"/>
  <c r="B152" i="30"/>
  <c r="Q151" i="30"/>
  <c r="B151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Q150" i="30" s="1"/>
  <c r="B150" i="30"/>
  <c r="Q149" i="30"/>
  <c r="B149" i="30"/>
  <c r="Q148" i="30"/>
  <c r="B148" i="30"/>
  <c r="Q147" i="30"/>
  <c r="B147" i="30"/>
  <c r="Q146" i="30"/>
  <c r="B146" i="30"/>
  <c r="Q145" i="30"/>
  <c r="B145" i="30"/>
  <c r="Q144" i="30"/>
  <c r="B144" i="30"/>
  <c r="Q143" i="30"/>
  <c r="B143" i="30"/>
  <c r="Q142" i="30"/>
  <c r="B142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B141" i="30"/>
  <c r="Q140" i="30"/>
  <c r="B140" i="30"/>
  <c r="Q139" i="30"/>
  <c r="B139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B138" i="30"/>
  <c r="Q137" i="30"/>
  <c r="B137" i="30"/>
  <c r="Q136" i="30"/>
  <c r="B136" i="30"/>
  <c r="Q135" i="30"/>
  <c r="B135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B134" i="30"/>
  <c r="Q133" i="30"/>
  <c r="B133" i="30"/>
  <c r="Q132" i="30"/>
  <c r="B132" i="30"/>
  <c r="Q131" i="30"/>
  <c r="B131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B130" i="30"/>
  <c r="Q129" i="30"/>
  <c r="B129" i="30"/>
  <c r="Q128" i="30"/>
  <c r="B128" i="30"/>
  <c r="Q127" i="30"/>
  <c r="B127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Q126" i="30" s="1"/>
  <c r="B126" i="30"/>
  <c r="Q125" i="30"/>
  <c r="B125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B124" i="30"/>
  <c r="Q123" i="30"/>
  <c r="B123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B122" i="30"/>
  <c r="Q121" i="30"/>
  <c r="B121" i="30"/>
  <c r="Q120" i="30"/>
  <c r="B120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Q119" i="30" s="1"/>
  <c r="B119" i="30"/>
  <c r="Q118" i="30"/>
  <c r="B118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B117" i="30"/>
  <c r="Q116" i="30"/>
  <c r="B116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Q115" i="30" s="1"/>
  <c r="B115" i="30"/>
  <c r="Q114" i="30"/>
  <c r="B114" i="30"/>
  <c r="Q113" i="30"/>
  <c r="B113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Q112" i="30" s="1"/>
  <c r="B112" i="30"/>
  <c r="Q111" i="30"/>
  <c r="B111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B110" i="30"/>
  <c r="Q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B107" i="30"/>
  <c r="Q106" i="30"/>
  <c r="B106" i="30"/>
  <c r="O105" i="30"/>
  <c r="O79" i="30" s="1"/>
  <c r="N105" i="30"/>
  <c r="M105" i="30"/>
  <c r="L105" i="30"/>
  <c r="K105" i="30"/>
  <c r="J105" i="30"/>
  <c r="I105" i="30"/>
  <c r="H105" i="30"/>
  <c r="G105" i="30"/>
  <c r="F105" i="30"/>
  <c r="E105" i="30"/>
  <c r="D105" i="30"/>
  <c r="B105" i="30"/>
  <c r="Q104" i="30"/>
  <c r="B104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B103" i="30"/>
  <c r="Q102" i="30"/>
  <c r="B102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Q101" i="30" s="1"/>
  <c r="B101" i="30"/>
  <c r="Q100" i="30"/>
  <c r="B100" i="30"/>
  <c r="Q99" i="30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Q92" i="30"/>
  <c r="B92" i="30"/>
  <c r="Q91" i="30"/>
  <c r="B91" i="30"/>
  <c r="O90" i="30"/>
  <c r="N90" i="30"/>
  <c r="M90" i="30"/>
  <c r="L90" i="30"/>
  <c r="K90" i="30"/>
  <c r="J90" i="30"/>
  <c r="I90" i="30"/>
  <c r="I79" i="30" s="1"/>
  <c r="H90" i="30"/>
  <c r="G90" i="30"/>
  <c r="F90" i="30"/>
  <c r="F79" i="30" s="1"/>
  <c r="E90" i="30"/>
  <c r="D90" i="30"/>
  <c r="B90" i="30"/>
  <c r="Q89" i="30"/>
  <c r="B89" i="30"/>
  <c r="Q88" i="30"/>
  <c r="B88" i="30"/>
  <c r="Q87" i="30"/>
  <c r="B87" i="30"/>
  <c r="Q86" i="30"/>
  <c r="B86" i="30"/>
  <c r="Q85" i="30"/>
  <c r="B85" i="30"/>
  <c r="Q84" i="30"/>
  <c r="B84" i="30"/>
  <c r="Q83" i="30"/>
  <c r="B83" i="30"/>
  <c r="Q82" i="30"/>
  <c r="B82" i="30"/>
  <c r="Q81" i="30"/>
  <c r="B81" i="30"/>
  <c r="O80" i="30"/>
  <c r="N80" i="30"/>
  <c r="N79" i="30" s="1"/>
  <c r="M80" i="30"/>
  <c r="M79" i="30" s="1"/>
  <c r="L80" i="30"/>
  <c r="K80" i="30"/>
  <c r="J80" i="30"/>
  <c r="I80" i="30"/>
  <c r="H80" i="30"/>
  <c r="G80" i="30"/>
  <c r="F80" i="30"/>
  <c r="E80" i="30"/>
  <c r="E79" i="30" s="1"/>
  <c r="D80" i="30"/>
  <c r="B80" i="30"/>
  <c r="G79" i="30"/>
  <c r="Q74" i="30"/>
  <c r="B74" i="30"/>
  <c r="Q73" i="30"/>
  <c r="B73" i="30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Q51" i="30"/>
  <c r="B51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M48" i="30"/>
  <c r="L48" i="30"/>
  <c r="K48" i="30"/>
  <c r="J48" i="30"/>
  <c r="I48" i="30"/>
  <c r="H48" i="30"/>
  <c r="G48" i="30"/>
  <c r="F48" i="30"/>
  <c r="E48" i="30"/>
  <c r="D48" i="30"/>
  <c r="B48" i="30"/>
  <c r="M47" i="30"/>
  <c r="L47" i="30"/>
  <c r="K47" i="30"/>
  <c r="J47" i="30"/>
  <c r="I47" i="30"/>
  <c r="H47" i="30"/>
  <c r="G47" i="30"/>
  <c r="F47" i="30"/>
  <c r="E47" i="30"/>
  <c r="D47" i="30"/>
  <c r="B47" i="30"/>
  <c r="M46" i="30"/>
  <c r="L46" i="30"/>
  <c r="K46" i="30"/>
  <c r="J46" i="30"/>
  <c r="I46" i="30"/>
  <c r="H46" i="30"/>
  <c r="G46" i="30"/>
  <c r="F46" i="30"/>
  <c r="E46" i="30"/>
  <c r="D46" i="30"/>
  <c r="B46" i="30"/>
  <c r="M45" i="30"/>
  <c r="L45" i="30"/>
  <c r="K45" i="30"/>
  <c r="J45" i="30"/>
  <c r="I45" i="30"/>
  <c r="H45" i="30"/>
  <c r="G45" i="30"/>
  <c r="F45" i="30"/>
  <c r="E45" i="30"/>
  <c r="D45" i="30"/>
  <c r="Q45" i="30" s="1"/>
  <c r="B45" i="30"/>
  <c r="M44" i="30"/>
  <c r="L44" i="30"/>
  <c r="K44" i="30"/>
  <c r="J44" i="30"/>
  <c r="I44" i="30"/>
  <c r="H44" i="30"/>
  <c r="G44" i="30"/>
  <c r="F44" i="30"/>
  <c r="E44" i="30"/>
  <c r="D44" i="30"/>
  <c r="Q44" i="30" s="1"/>
  <c r="B44" i="30"/>
  <c r="M43" i="30"/>
  <c r="L43" i="30"/>
  <c r="K43" i="30"/>
  <c r="J43" i="30"/>
  <c r="I43" i="30"/>
  <c r="H43" i="30"/>
  <c r="G43" i="30"/>
  <c r="F43" i="30"/>
  <c r="E43" i="30"/>
  <c r="D43" i="30"/>
  <c r="B43" i="30"/>
  <c r="M42" i="30"/>
  <c r="L42" i="30"/>
  <c r="K42" i="30"/>
  <c r="J42" i="30"/>
  <c r="I42" i="30"/>
  <c r="H42" i="30"/>
  <c r="G42" i="30"/>
  <c r="F42" i="30"/>
  <c r="E42" i="30"/>
  <c r="D42" i="30"/>
  <c r="Q42" i="30" s="1"/>
  <c r="B42" i="30"/>
  <c r="M41" i="30"/>
  <c r="L41" i="30"/>
  <c r="K41" i="30"/>
  <c r="J41" i="30"/>
  <c r="I41" i="30"/>
  <c r="H41" i="30"/>
  <c r="G41" i="30"/>
  <c r="F41" i="30"/>
  <c r="E41" i="30"/>
  <c r="D41" i="30"/>
  <c r="Q41" i="30" s="1"/>
  <c r="B41" i="30"/>
  <c r="M40" i="30"/>
  <c r="L40" i="30"/>
  <c r="K40" i="30"/>
  <c r="J40" i="30"/>
  <c r="I40" i="30"/>
  <c r="H40" i="30"/>
  <c r="G40" i="30"/>
  <c r="F40" i="30"/>
  <c r="E40" i="30"/>
  <c r="D40" i="30"/>
  <c r="B40" i="30"/>
  <c r="M39" i="30"/>
  <c r="L39" i="30"/>
  <c r="K39" i="30"/>
  <c r="J39" i="30"/>
  <c r="I39" i="30"/>
  <c r="H39" i="30"/>
  <c r="G39" i="30"/>
  <c r="F39" i="30"/>
  <c r="E39" i="30"/>
  <c r="D39" i="30"/>
  <c r="Q39" i="30" s="1"/>
  <c r="B39" i="30"/>
  <c r="M38" i="30"/>
  <c r="L38" i="30"/>
  <c r="K38" i="30"/>
  <c r="J38" i="30"/>
  <c r="I38" i="30"/>
  <c r="H38" i="30"/>
  <c r="G38" i="30"/>
  <c r="F38" i="30"/>
  <c r="E38" i="30"/>
  <c r="D38" i="30"/>
  <c r="B38" i="30"/>
  <c r="M37" i="30"/>
  <c r="L37" i="30"/>
  <c r="K37" i="30"/>
  <c r="J37" i="30"/>
  <c r="I37" i="30"/>
  <c r="H37" i="30"/>
  <c r="G37" i="30"/>
  <c r="F37" i="30"/>
  <c r="E37" i="30"/>
  <c r="D37" i="30"/>
  <c r="B37" i="30"/>
  <c r="M36" i="30"/>
  <c r="L36" i="30"/>
  <c r="K36" i="30"/>
  <c r="J36" i="30"/>
  <c r="I36" i="30"/>
  <c r="H36" i="30"/>
  <c r="G36" i="30"/>
  <c r="F36" i="30"/>
  <c r="E36" i="30"/>
  <c r="D36" i="30"/>
  <c r="B36" i="30"/>
  <c r="M35" i="30"/>
  <c r="L35" i="30"/>
  <c r="K35" i="30"/>
  <c r="J35" i="30"/>
  <c r="I35" i="30"/>
  <c r="H35" i="30"/>
  <c r="G35" i="30"/>
  <c r="F35" i="30"/>
  <c r="E35" i="30"/>
  <c r="D35" i="30"/>
  <c r="B35" i="30"/>
  <c r="M34" i="30"/>
  <c r="L34" i="30"/>
  <c r="K34" i="30"/>
  <c r="J34" i="30"/>
  <c r="I34" i="30"/>
  <c r="H34" i="30"/>
  <c r="G34" i="30"/>
  <c r="F34" i="30"/>
  <c r="E34" i="30"/>
  <c r="D34" i="30"/>
  <c r="B34" i="30"/>
  <c r="M33" i="30"/>
  <c r="L33" i="30"/>
  <c r="K33" i="30"/>
  <c r="J33" i="30"/>
  <c r="I33" i="30"/>
  <c r="H33" i="30"/>
  <c r="G33" i="30"/>
  <c r="F33" i="30"/>
  <c r="E33" i="30"/>
  <c r="D33" i="30"/>
  <c r="Q33" i="30" s="1"/>
  <c r="B33" i="30"/>
  <c r="M32" i="30"/>
  <c r="L32" i="30"/>
  <c r="K32" i="30"/>
  <c r="J32" i="30"/>
  <c r="I32" i="30"/>
  <c r="H32" i="30"/>
  <c r="G32" i="30"/>
  <c r="F32" i="30"/>
  <c r="E32" i="30"/>
  <c r="D32" i="30"/>
  <c r="Q32" i="30" s="1"/>
  <c r="B32" i="30"/>
  <c r="M31" i="30"/>
  <c r="L31" i="30"/>
  <c r="K31" i="30"/>
  <c r="J31" i="30"/>
  <c r="I31" i="30"/>
  <c r="H31" i="30"/>
  <c r="G31" i="30"/>
  <c r="F31" i="30"/>
  <c r="E31" i="30"/>
  <c r="D31" i="30"/>
  <c r="B31" i="30"/>
  <c r="M30" i="30"/>
  <c r="L30" i="30"/>
  <c r="K30" i="30"/>
  <c r="J30" i="30"/>
  <c r="I30" i="30"/>
  <c r="H30" i="30"/>
  <c r="G30" i="30"/>
  <c r="F30" i="30"/>
  <c r="E30" i="30"/>
  <c r="D30" i="30"/>
  <c r="Q30" i="30" s="1"/>
  <c r="B30" i="30"/>
  <c r="M29" i="30"/>
  <c r="L29" i="30"/>
  <c r="K29" i="30"/>
  <c r="J29" i="30"/>
  <c r="I29" i="30"/>
  <c r="H29" i="30"/>
  <c r="G29" i="30"/>
  <c r="F29" i="30"/>
  <c r="E29" i="30"/>
  <c r="D29" i="30"/>
  <c r="Q29" i="30" s="1"/>
  <c r="B29" i="30"/>
  <c r="M28" i="30"/>
  <c r="L28" i="30"/>
  <c r="K28" i="30"/>
  <c r="J28" i="30"/>
  <c r="I28" i="30"/>
  <c r="H28" i="30"/>
  <c r="G28" i="30"/>
  <c r="F28" i="30"/>
  <c r="E28" i="30"/>
  <c r="D28" i="30"/>
  <c r="B28" i="30"/>
  <c r="M27" i="30"/>
  <c r="L27" i="30"/>
  <c r="K27" i="30"/>
  <c r="J27" i="30"/>
  <c r="I27" i="30"/>
  <c r="H27" i="30"/>
  <c r="G27" i="30"/>
  <c r="F27" i="30"/>
  <c r="E27" i="30"/>
  <c r="D27" i="30"/>
  <c r="Q27" i="30" s="1"/>
  <c r="B27" i="30"/>
  <c r="M26" i="30"/>
  <c r="L26" i="30"/>
  <c r="K26" i="30"/>
  <c r="J26" i="30"/>
  <c r="I26" i="30"/>
  <c r="H26" i="30"/>
  <c r="G26" i="30"/>
  <c r="F26" i="30"/>
  <c r="E26" i="30"/>
  <c r="D26" i="30"/>
  <c r="B26" i="30"/>
  <c r="M25" i="30"/>
  <c r="L25" i="30"/>
  <c r="K25" i="30"/>
  <c r="J25" i="30"/>
  <c r="I25" i="30"/>
  <c r="H25" i="30"/>
  <c r="G25" i="30"/>
  <c r="F25" i="30"/>
  <c r="E25" i="30"/>
  <c r="D25" i="30"/>
  <c r="B25" i="30"/>
  <c r="M24" i="30"/>
  <c r="L24" i="30"/>
  <c r="K24" i="30"/>
  <c r="J24" i="30"/>
  <c r="I24" i="30"/>
  <c r="H24" i="30"/>
  <c r="G24" i="30"/>
  <c r="F24" i="30"/>
  <c r="E24" i="30"/>
  <c r="D24" i="30"/>
  <c r="B24" i="30"/>
  <c r="M23" i="30"/>
  <c r="L23" i="30"/>
  <c r="K23" i="30"/>
  <c r="J23" i="30"/>
  <c r="I23" i="30"/>
  <c r="H23" i="30"/>
  <c r="G23" i="30"/>
  <c r="F23" i="30"/>
  <c r="E23" i="30"/>
  <c r="D23" i="30"/>
  <c r="B23" i="30"/>
  <c r="M22" i="30"/>
  <c r="L22" i="30"/>
  <c r="K22" i="30"/>
  <c r="J22" i="30"/>
  <c r="I22" i="30"/>
  <c r="H22" i="30"/>
  <c r="G22" i="30"/>
  <c r="F22" i="30"/>
  <c r="E22" i="30"/>
  <c r="D22" i="30"/>
  <c r="B22" i="30"/>
  <c r="M21" i="30"/>
  <c r="L21" i="30"/>
  <c r="K21" i="30"/>
  <c r="J21" i="30"/>
  <c r="I21" i="30"/>
  <c r="H21" i="30"/>
  <c r="G21" i="30"/>
  <c r="F21" i="30"/>
  <c r="E21" i="30"/>
  <c r="D21" i="30"/>
  <c r="Q21" i="30" s="1"/>
  <c r="B21" i="30"/>
  <c r="M20" i="30"/>
  <c r="L20" i="30"/>
  <c r="K20" i="30"/>
  <c r="J20" i="30"/>
  <c r="I20" i="30"/>
  <c r="H20" i="30"/>
  <c r="G20" i="30"/>
  <c r="F20" i="30"/>
  <c r="E20" i="30"/>
  <c r="D20" i="30"/>
  <c r="Q20" i="30" s="1"/>
  <c r="B20" i="30"/>
  <c r="M19" i="30"/>
  <c r="L19" i="30"/>
  <c r="K19" i="30"/>
  <c r="J19" i="30"/>
  <c r="I19" i="30"/>
  <c r="H19" i="30"/>
  <c r="G19" i="30"/>
  <c r="F19" i="30"/>
  <c r="E19" i="30"/>
  <c r="D19" i="30"/>
  <c r="B19" i="30"/>
  <c r="M18" i="30"/>
  <c r="L18" i="30"/>
  <c r="K18" i="30"/>
  <c r="J18" i="30"/>
  <c r="I18" i="30"/>
  <c r="H18" i="30"/>
  <c r="G18" i="30"/>
  <c r="F18" i="30"/>
  <c r="E18" i="30"/>
  <c r="D18" i="30"/>
  <c r="Q18" i="30" s="1"/>
  <c r="B18" i="30"/>
  <c r="M17" i="30"/>
  <c r="L17" i="30"/>
  <c r="K17" i="30"/>
  <c r="J17" i="30"/>
  <c r="I17" i="30"/>
  <c r="H17" i="30"/>
  <c r="G17" i="30"/>
  <c r="F17" i="30"/>
  <c r="E17" i="30"/>
  <c r="D17" i="30"/>
  <c r="Q17" i="30" s="1"/>
  <c r="B17" i="30"/>
  <c r="M16" i="30"/>
  <c r="L16" i="30"/>
  <c r="K16" i="30"/>
  <c r="J16" i="30"/>
  <c r="I16" i="30"/>
  <c r="H16" i="30"/>
  <c r="G16" i="30"/>
  <c r="F16" i="30"/>
  <c r="E16" i="30"/>
  <c r="D16" i="30"/>
  <c r="B16" i="30"/>
  <c r="M15" i="30"/>
  <c r="L15" i="30"/>
  <c r="K15" i="30"/>
  <c r="J15" i="30"/>
  <c r="I15" i="30"/>
  <c r="H15" i="30"/>
  <c r="G15" i="30"/>
  <c r="F15" i="30"/>
  <c r="E15" i="30"/>
  <c r="D15" i="30"/>
  <c r="Q15" i="30" s="1"/>
  <c r="B15" i="30"/>
  <c r="M14" i="30"/>
  <c r="L14" i="30"/>
  <c r="K14" i="30"/>
  <c r="J14" i="30"/>
  <c r="I14" i="30"/>
  <c r="H14" i="30"/>
  <c r="G14" i="30"/>
  <c r="F14" i="30"/>
  <c r="E14" i="30"/>
  <c r="D14" i="30"/>
  <c r="B14" i="30"/>
  <c r="M13" i="30"/>
  <c r="L13" i="30"/>
  <c r="K13" i="30"/>
  <c r="J13" i="30"/>
  <c r="I13" i="30"/>
  <c r="H13" i="30"/>
  <c r="G13" i="30"/>
  <c r="F13" i="30"/>
  <c r="E13" i="30"/>
  <c r="D13" i="30"/>
  <c r="B13" i="30"/>
  <c r="M12" i="30"/>
  <c r="L12" i="30"/>
  <c r="K12" i="30"/>
  <c r="J12" i="30"/>
  <c r="I12" i="30"/>
  <c r="H12" i="30"/>
  <c r="G12" i="30"/>
  <c r="F12" i="30"/>
  <c r="E12" i="30"/>
  <c r="D12" i="30"/>
  <c r="B12" i="30"/>
  <c r="M11" i="30"/>
  <c r="L11" i="30"/>
  <c r="K11" i="30"/>
  <c r="J11" i="30"/>
  <c r="J10" i="30" s="1"/>
  <c r="I11" i="30"/>
  <c r="H11" i="30"/>
  <c r="G11" i="30"/>
  <c r="F11" i="30"/>
  <c r="E11" i="30"/>
  <c r="E10" i="30" s="1"/>
  <c r="E76" i="30" s="1"/>
  <c r="E77" i="30" s="1"/>
  <c r="D11" i="30"/>
  <c r="B11" i="30"/>
  <c r="O10" i="30"/>
  <c r="O76" i="30" s="1"/>
  <c r="N10" i="30"/>
  <c r="N76" i="30" s="1"/>
  <c r="M10" i="30"/>
  <c r="M76" i="30" s="1"/>
  <c r="L10" i="30"/>
  <c r="L76" i="30" s="1"/>
  <c r="L77" i="30" s="1"/>
  <c r="K10" i="30"/>
  <c r="K76" i="30" s="1"/>
  <c r="H10" i="30"/>
  <c r="H76" i="30" s="1"/>
  <c r="H77" i="30" s="1"/>
  <c r="G10" i="30"/>
  <c r="O8" i="30"/>
  <c r="N8" i="30"/>
  <c r="M8" i="30"/>
  <c r="L8" i="30"/>
  <c r="K8" i="30"/>
  <c r="J8" i="30"/>
  <c r="I8" i="30"/>
  <c r="H8" i="30"/>
  <c r="G8" i="30"/>
  <c r="F8" i="30"/>
  <c r="E8" i="30"/>
  <c r="D8" i="30"/>
  <c r="Q118" i="27"/>
  <c r="M113" i="27"/>
  <c r="L113" i="27"/>
  <c r="K113" i="27"/>
  <c r="J113" i="27"/>
  <c r="I113" i="27"/>
  <c r="H113" i="27"/>
  <c r="G113" i="27"/>
  <c r="F113" i="27"/>
  <c r="E113" i="27"/>
  <c r="D113" i="27"/>
  <c r="Q111" i="27"/>
  <c r="B111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B110" i="27"/>
  <c r="Q109" i="27"/>
  <c r="B109" i="27"/>
  <c r="Q108" i="27"/>
  <c r="B108" i="27"/>
  <c r="O107" i="27"/>
  <c r="N107" i="27"/>
  <c r="M107" i="27"/>
  <c r="L107" i="27"/>
  <c r="K107" i="27"/>
  <c r="J107" i="27"/>
  <c r="I107" i="27"/>
  <c r="H107" i="27"/>
  <c r="G107" i="27"/>
  <c r="F107" i="27"/>
  <c r="F56" i="27" s="1"/>
  <c r="E107" i="27"/>
  <c r="D107" i="27"/>
  <c r="B107" i="27"/>
  <c r="Q106" i="27"/>
  <c r="B106" i="27"/>
  <c r="Q105" i="27"/>
  <c r="B105" i="27"/>
  <c r="Q104" i="27"/>
  <c r="B104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B103" i="27"/>
  <c r="Q102" i="27"/>
  <c r="B102" i="27"/>
  <c r="Q101" i="27"/>
  <c r="B101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B100" i="27"/>
  <c r="Q99" i="27"/>
  <c r="B99" i="27"/>
  <c r="Q98" i="27"/>
  <c r="B98" i="27"/>
  <c r="Q97" i="27"/>
  <c r="B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Q96" i="27" s="1"/>
  <c r="B96" i="27"/>
  <c r="Q95" i="27"/>
  <c r="B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B94" i="27"/>
  <c r="Q93" i="27"/>
  <c r="B93" i="27"/>
  <c r="Q92" i="27"/>
  <c r="B92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Q91" i="27" s="1"/>
  <c r="B91" i="27"/>
  <c r="Q90" i="27"/>
  <c r="B90" i="27"/>
  <c r="Q89" i="27"/>
  <c r="B89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B88" i="27"/>
  <c r="Q87" i="27"/>
  <c r="B87" i="27"/>
  <c r="O86" i="27"/>
  <c r="N86" i="27"/>
  <c r="M86" i="27"/>
  <c r="L86" i="27"/>
  <c r="L56" i="27" s="1"/>
  <c r="K86" i="27"/>
  <c r="J86" i="27"/>
  <c r="I86" i="27"/>
  <c r="H86" i="27"/>
  <c r="G86" i="27"/>
  <c r="F86" i="27"/>
  <c r="E86" i="27"/>
  <c r="D86" i="27"/>
  <c r="B86" i="27"/>
  <c r="Q85" i="27"/>
  <c r="B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Q84" i="27" s="1"/>
  <c r="B84" i="27"/>
  <c r="Q83" i="27"/>
  <c r="B83" i="27"/>
  <c r="Q82" i="27"/>
  <c r="B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Q81" i="27" s="1"/>
  <c r="B81" i="27"/>
  <c r="Q80" i="27"/>
  <c r="B80" i="27"/>
  <c r="O79" i="27"/>
  <c r="N79" i="27"/>
  <c r="N56" i="27" s="1"/>
  <c r="M79" i="27"/>
  <c r="L79" i="27"/>
  <c r="K79" i="27"/>
  <c r="J79" i="27"/>
  <c r="I79" i="27"/>
  <c r="H79" i="27"/>
  <c r="G79" i="27"/>
  <c r="F79" i="27"/>
  <c r="E79" i="27"/>
  <c r="D79" i="27"/>
  <c r="Q79" i="27" s="1"/>
  <c r="B79" i="27"/>
  <c r="Q78" i="27"/>
  <c r="B78" i="27"/>
  <c r="Q77" i="27"/>
  <c r="B77" i="27"/>
  <c r="Q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O68" i="27"/>
  <c r="O56" i="27" s="1"/>
  <c r="N68" i="27"/>
  <c r="M68" i="27"/>
  <c r="L68" i="27"/>
  <c r="K68" i="27"/>
  <c r="J68" i="27"/>
  <c r="I68" i="27"/>
  <c r="H68" i="27"/>
  <c r="G68" i="27"/>
  <c r="G56" i="27" s="1"/>
  <c r="F68" i="27"/>
  <c r="E68" i="27"/>
  <c r="D68" i="27"/>
  <c r="B68" i="27"/>
  <c r="Q67" i="27"/>
  <c r="B67" i="27"/>
  <c r="Q66" i="27"/>
  <c r="B66" i="27"/>
  <c r="Q65" i="27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O57" i="27"/>
  <c r="N57" i="27"/>
  <c r="M57" i="27"/>
  <c r="L57" i="27"/>
  <c r="K57" i="27"/>
  <c r="J57" i="27"/>
  <c r="I57" i="27"/>
  <c r="I56" i="27" s="1"/>
  <c r="H57" i="27"/>
  <c r="G57" i="27"/>
  <c r="F57" i="27"/>
  <c r="E57" i="27"/>
  <c r="E56" i="27" s="1"/>
  <c r="D57" i="27"/>
  <c r="B57" i="27"/>
  <c r="M56" i="27"/>
  <c r="I53" i="27"/>
  <c r="E53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Q35" i="27" s="1"/>
  <c r="B40" i="27"/>
  <c r="Q39" i="27"/>
  <c r="B39" i="27"/>
  <c r="Q38" i="27"/>
  <c r="B38" i="27"/>
  <c r="Q37" i="27"/>
  <c r="B37" i="27"/>
  <c r="Q36" i="27"/>
  <c r="B36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M33" i="27"/>
  <c r="L33" i="27"/>
  <c r="K33" i="27"/>
  <c r="J33" i="27"/>
  <c r="I33" i="27"/>
  <c r="H33" i="27"/>
  <c r="G33" i="27"/>
  <c r="F33" i="27"/>
  <c r="E33" i="27"/>
  <c r="D33" i="27"/>
  <c r="B33" i="27"/>
  <c r="M32" i="27"/>
  <c r="L32" i="27"/>
  <c r="K32" i="27"/>
  <c r="J32" i="27"/>
  <c r="I32" i="27"/>
  <c r="H32" i="27"/>
  <c r="G32" i="27"/>
  <c r="F32" i="27"/>
  <c r="E32" i="27"/>
  <c r="D32" i="27"/>
  <c r="B32" i="27"/>
  <c r="M31" i="27"/>
  <c r="L31" i="27"/>
  <c r="K31" i="27"/>
  <c r="J31" i="27"/>
  <c r="I31" i="27"/>
  <c r="H31" i="27"/>
  <c r="G31" i="27"/>
  <c r="F31" i="27"/>
  <c r="E31" i="27"/>
  <c r="D31" i="27"/>
  <c r="Q31" i="27" s="1"/>
  <c r="B31" i="27"/>
  <c r="M30" i="27"/>
  <c r="L30" i="27"/>
  <c r="K30" i="27"/>
  <c r="J30" i="27"/>
  <c r="I30" i="27"/>
  <c r="H30" i="27"/>
  <c r="G30" i="27"/>
  <c r="F30" i="27"/>
  <c r="E30" i="27"/>
  <c r="D30" i="27"/>
  <c r="Q30" i="27" s="1"/>
  <c r="B30" i="27"/>
  <c r="M29" i="27"/>
  <c r="L29" i="27"/>
  <c r="K29" i="27"/>
  <c r="J29" i="27"/>
  <c r="I29" i="27"/>
  <c r="H29" i="27"/>
  <c r="G29" i="27"/>
  <c r="F29" i="27"/>
  <c r="E29" i="27"/>
  <c r="D29" i="27"/>
  <c r="Q29" i="27" s="1"/>
  <c r="B29" i="27"/>
  <c r="M28" i="27"/>
  <c r="L28" i="27"/>
  <c r="K28" i="27"/>
  <c r="J28" i="27"/>
  <c r="I28" i="27"/>
  <c r="H28" i="27"/>
  <c r="G28" i="27"/>
  <c r="F28" i="27"/>
  <c r="E28" i="27"/>
  <c r="D28" i="27"/>
  <c r="Q28" i="27" s="1"/>
  <c r="B28" i="27"/>
  <c r="M27" i="27"/>
  <c r="L27" i="27"/>
  <c r="K27" i="27"/>
  <c r="J27" i="27"/>
  <c r="I27" i="27"/>
  <c r="H27" i="27"/>
  <c r="G27" i="27"/>
  <c r="F27" i="27"/>
  <c r="E27" i="27"/>
  <c r="D27" i="27"/>
  <c r="B27" i="27"/>
  <c r="M26" i="27"/>
  <c r="L26" i="27"/>
  <c r="K26" i="27"/>
  <c r="J26" i="27"/>
  <c r="I26" i="27"/>
  <c r="H26" i="27"/>
  <c r="G26" i="27"/>
  <c r="F26" i="27"/>
  <c r="E26" i="27"/>
  <c r="D26" i="27"/>
  <c r="B26" i="27"/>
  <c r="M25" i="27"/>
  <c r="L25" i="27"/>
  <c r="K25" i="27"/>
  <c r="J25" i="27"/>
  <c r="I25" i="27"/>
  <c r="H25" i="27"/>
  <c r="G25" i="27"/>
  <c r="F25" i="27"/>
  <c r="E25" i="27"/>
  <c r="D25" i="27"/>
  <c r="B25" i="27"/>
  <c r="M24" i="27"/>
  <c r="L24" i="27"/>
  <c r="K24" i="27"/>
  <c r="J24" i="27"/>
  <c r="I24" i="27"/>
  <c r="H24" i="27"/>
  <c r="G24" i="27"/>
  <c r="F24" i="27"/>
  <c r="E24" i="27"/>
  <c r="D24" i="27"/>
  <c r="B24" i="27"/>
  <c r="M23" i="27"/>
  <c r="L23" i="27"/>
  <c r="K23" i="27"/>
  <c r="J23" i="27"/>
  <c r="I23" i="27"/>
  <c r="H23" i="27"/>
  <c r="G23" i="27"/>
  <c r="F23" i="27"/>
  <c r="E23" i="27"/>
  <c r="D23" i="27"/>
  <c r="Q23" i="27" s="1"/>
  <c r="B23" i="27"/>
  <c r="M22" i="27"/>
  <c r="L22" i="27"/>
  <c r="K22" i="27"/>
  <c r="J22" i="27"/>
  <c r="I22" i="27"/>
  <c r="H22" i="27"/>
  <c r="G22" i="27"/>
  <c r="F22" i="27"/>
  <c r="E22" i="27"/>
  <c r="D22" i="27"/>
  <c r="B22" i="27"/>
  <c r="M21" i="27"/>
  <c r="L21" i="27"/>
  <c r="K21" i="27"/>
  <c r="J21" i="27"/>
  <c r="I21" i="27"/>
  <c r="H21" i="27"/>
  <c r="G21" i="27"/>
  <c r="F21" i="27"/>
  <c r="E21" i="27"/>
  <c r="D21" i="27"/>
  <c r="B21" i="27"/>
  <c r="M20" i="27"/>
  <c r="L20" i="27"/>
  <c r="K20" i="27"/>
  <c r="J20" i="27"/>
  <c r="I20" i="27"/>
  <c r="H20" i="27"/>
  <c r="G20" i="27"/>
  <c r="F20" i="27"/>
  <c r="E20" i="27"/>
  <c r="D20" i="27"/>
  <c r="B20" i="27"/>
  <c r="M19" i="27"/>
  <c r="L19" i="27"/>
  <c r="K19" i="27"/>
  <c r="J19" i="27"/>
  <c r="I19" i="27"/>
  <c r="H19" i="27"/>
  <c r="G19" i="27"/>
  <c r="F19" i="27"/>
  <c r="E19" i="27"/>
  <c r="D19" i="27"/>
  <c r="Q19" i="27" s="1"/>
  <c r="B19" i="27"/>
  <c r="M18" i="27"/>
  <c r="L18" i="27"/>
  <c r="K18" i="27"/>
  <c r="J18" i="27"/>
  <c r="I18" i="27"/>
  <c r="H18" i="27"/>
  <c r="G18" i="27"/>
  <c r="F18" i="27"/>
  <c r="E18" i="27"/>
  <c r="D18" i="27"/>
  <c r="Q18" i="27" s="1"/>
  <c r="B18" i="27"/>
  <c r="M17" i="27"/>
  <c r="L17" i="27"/>
  <c r="K17" i="27"/>
  <c r="J17" i="27"/>
  <c r="I17" i="27"/>
  <c r="H17" i="27"/>
  <c r="G17" i="27"/>
  <c r="F17" i="27"/>
  <c r="E17" i="27"/>
  <c r="D17" i="27"/>
  <c r="Q17" i="27" s="1"/>
  <c r="B17" i="27"/>
  <c r="M16" i="27"/>
  <c r="L16" i="27"/>
  <c r="K16" i="27"/>
  <c r="J16" i="27"/>
  <c r="I16" i="27"/>
  <c r="H16" i="27"/>
  <c r="G16" i="27"/>
  <c r="F16" i="27"/>
  <c r="E16" i="27"/>
  <c r="D16" i="27"/>
  <c r="Q16" i="27" s="1"/>
  <c r="B16" i="27"/>
  <c r="M15" i="27"/>
  <c r="L15" i="27"/>
  <c r="K15" i="27"/>
  <c r="J15" i="27"/>
  <c r="I15" i="27"/>
  <c r="H15" i="27"/>
  <c r="G15" i="27"/>
  <c r="F15" i="27"/>
  <c r="E15" i="27"/>
  <c r="D15" i="27"/>
  <c r="B15" i="27"/>
  <c r="M14" i="27"/>
  <c r="L14" i="27"/>
  <c r="K14" i="27"/>
  <c r="J14" i="27"/>
  <c r="I14" i="27"/>
  <c r="H14" i="27"/>
  <c r="G14" i="27"/>
  <c r="F14" i="27"/>
  <c r="E14" i="27"/>
  <c r="D14" i="27"/>
  <c r="B14" i="27"/>
  <c r="M13" i="27"/>
  <c r="L13" i="27"/>
  <c r="K13" i="27"/>
  <c r="J13" i="27"/>
  <c r="I13" i="27"/>
  <c r="H13" i="27"/>
  <c r="G13" i="27"/>
  <c r="F13" i="27"/>
  <c r="E13" i="27"/>
  <c r="D13" i="27"/>
  <c r="B13" i="27"/>
  <c r="M12" i="27"/>
  <c r="L12" i="27"/>
  <c r="K12" i="27"/>
  <c r="J12" i="27"/>
  <c r="I12" i="27"/>
  <c r="H12" i="27"/>
  <c r="G12" i="27"/>
  <c r="F12" i="27"/>
  <c r="E12" i="27"/>
  <c r="D12" i="27"/>
  <c r="B12" i="27"/>
  <c r="M11" i="27"/>
  <c r="L11" i="27"/>
  <c r="K11" i="27"/>
  <c r="K10" i="27" s="1"/>
  <c r="K53" i="27" s="1"/>
  <c r="J11" i="27"/>
  <c r="I11" i="27"/>
  <c r="H11" i="27"/>
  <c r="G11" i="27"/>
  <c r="G10" i="27" s="1"/>
  <c r="G53" i="27" s="1"/>
  <c r="F11" i="27"/>
  <c r="E11" i="27"/>
  <c r="D11" i="27"/>
  <c r="Q11" i="27" s="1"/>
  <c r="B11" i="27"/>
  <c r="O10" i="27"/>
  <c r="O53" i="27" s="1"/>
  <c r="N10" i="27"/>
  <c r="J10" i="27"/>
  <c r="J53" i="27" s="1"/>
  <c r="J54" i="27" s="1"/>
  <c r="I10" i="27"/>
  <c r="H10" i="27"/>
  <c r="H53" i="27" s="1"/>
  <c r="F10" i="27"/>
  <c r="F53" i="27" s="1"/>
  <c r="F54" i="27" s="1"/>
  <c r="E10" i="27"/>
  <c r="O8" i="27"/>
  <c r="N8" i="27"/>
  <c r="M8" i="27"/>
  <c r="L8" i="27"/>
  <c r="K8" i="27"/>
  <c r="J8" i="27"/>
  <c r="I8" i="27"/>
  <c r="H8" i="27"/>
  <c r="G8" i="27"/>
  <c r="F8" i="27"/>
  <c r="E8" i="27"/>
  <c r="D8" i="27"/>
  <c r="Q96" i="24"/>
  <c r="H93" i="24"/>
  <c r="M91" i="24"/>
  <c r="L91" i="24"/>
  <c r="K91" i="24"/>
  <c r="J91" i="24"/>
  <c r="I91" i="24"/>
  <c r="H91" i="24"/>
  <c r="G91" i="24"/>
  <c r="F91" i="24"/>
  <c r="Q91" i="24" s="1"/>
  <c r="E91" i="24"/>
  <c r="D91" i="24"/>
  <c r="Q89" i="24"/>
  <c r="B89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Q88" i="24" s="1"/>
  <c r="B88" i="24"/>
  <c r="Q87" i="24"/>
  <c r="B87" i="24"/>
  <c r="Q86" i="24"/>
  <c r="B86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Q85" i="24" s="1"/>
  <c r="B85" i="24"/>
  <c r="Q84" i="24"/>
  <c r="B84" i="24"/>
  <c r="Q83" i="24"/>
  <c r="B83" i="24"/>
  <c r="Q82" i="24"/>
  <c r="B82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B81" i="24"/>
  <c r="Q80" i="24"/>
  <c r="B80" i="24"/>
  <c r="Q79" i="24"/>
  <c r="B79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B78" i="24"/>
  <c r="Q77" i="24"/>
  <c r="B77" i="24"/>
  <c r="Q76" i="24"/>
  <c r="B76" i="24"/>
  <c r="O75" i="24"/>
  <c r="N75" i="24"/>
  <c r="M75" i="24"/>
  <c r="L75" i="24"/>
  <c r="L39" i="24" s="1"/>
  <c r="K75" i="24"/>
  <c r="K39" i="24" s="1"/>
  <c r="J75" i="24"/>
  <c r="I75" i="24"/>
  <c r="H75" i="24"/>
  <c r="G75" i="24"/>
  <c r="F75" i="24"/>
  <c r="E75" i="24"/>
  <c r="D75" i="24"/>
  <c r="B75" i="24"/>
  <c r="Q74" i="24"/>
  <c r="B74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Q73" i="24" s="1"/>
  <c r="B73" i="24"/>
  <c r="Q72" i="24"/>
  <c r="B72" i="24"/>
  <c r="Q71" i="24"/>
  <c r="B71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Q70" i="24" s="1"/>
  <c r="B70" i="24"/>
  <c r="Q69" i="24"/>
  <c r="B69" i="24"/>
  <c r="Q68" i="24"/>
  <c r="B68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Q67" i="24" s="1"/>
  <c r="B67" i="24"/>
  <c r="Q66" i="24"/>
  <c r="B66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Q65" i="24" s="1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3" i="24" s="1"/>
  <c r="B63" i="24"/>
  <c r="Q62" i="24"/>
  <c r="B62" i="24"/>
  <c r="O61" i="24"/>
  <c r="N61" i="24"/>
  <c r="M61" i="24"/>
  <c r="L61" i="24"/>
  <c r="K61" i="24"/>
  <c r="J61" i="24"/>
  <c r="I61" i="24"/>
  <c r="H61" i="24"/>
  <c r="G61" i="24"/>
  <c r="G39" i="24" s="1"/>
  <c r="F61" i="24"/>
  <c r="E61" i="24"/>
  <c r="D61" i="24"/>
  <c r="Q61" i="24" s="1"/>
  <c r="B61" i="24"/>
  <c r="Q60" i="24"/>
  <c r="B60" i="24"/>
  <c r="Q59" i="24"/>
  <c r="B59" i="24"/>
  <c r="Q58" i="24"/>
  <c r="B58" i="24"/>
  <c r="Q57" i="24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O50" i="24"/>
  <c r="N50" i="24"/>
  <c r="N39" i="24" s="1"/>
  <c r="M50" i="24"/>
  <c r="L50" i="24"/>
  <c r="K50" i="24"/>
  <c r="J50" i="24"/>
  <c r="I50" i="24"/>
  <c r="H50" i="24"/>
  <c r="G50" i="24"/>
  <c r="F50" i="24"/>
  <c r="E50" i="24"/>
  <c r="E39" i="24" s="1"/>
  <c r="D50" i="24"/>
  <c r="Q50" i="24" s="1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Q41" i="24"/>
  <c r="B41" i="24"/>
  <c r="O40" i="24"/>
  <c r="N40" i="24"/>
  <c r="M40" i="24"/>
  <c r="L40" i="24"/>
  <c r="K40" i="24"/>
  <c r="J40" i="24"/>
  <c r="J39" i="24" s="1"/>
  <c r="I40" i="24"/>
  <c r="I39" i="24" s="1"/>
  <c r="H40" i="24"/>
  <c r="H39" i="24" s="1"/>
  <c r="G40" i="24"/>
  <c r="F40" i="24"/>
  <c r="E40" i="24"/>
  <c r="D40" i="24"/>
  <c r="Q40" i="24" s="1"/>
  <c r="B40" i="24"/>
  <c r="M37" i="24"/>
  <c r="L37" i="24"/>
  <c r="N36" i="24"/>
  <c r="M36" i="24"/>
  <c r="Q34" i="24"/>
  <c r="B34" i="24"/>
  <c r="Q33" i="24"/>
  <c r="B33" i="24"/>
  <c r="Q32" i="24"/>
  <c r="B32" i="24"/>
  <c r="Q31" i="24"/>
  <c r="B31" i="24"/>
  <c r="Q30" i="24"/>
  <c r="B30" i="24"/>
  <c r="Q29" i="24"/>
  <c r="B29" i="24"/>
  <c r="Q28" i="24"/>
  <c r="B28" i="24"/>
  <c r="Q27" i="24"/>
  <c r="Q26" i="24" s="1"/>
  <c r="B27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M24" i="24"/>
  <c r="L24" i="24"/>
  <c r="K24" i="24"/>
  <c r="J24" i="24"/>
  <c r="I24" i="24"/>
  <c r="H24" i="24"/>
  <c r="G24" i="24"/>
  <c r="F24" i="24"/>
  <c r="E24" i="24"/>
  <c r="D24" i="24"/>
  <c r="B24" i="24"/>
  <c r="M23" i="24"/>
  <c r="L23" i="24"/>
  <c r="K23" i="24"/>
  <c r="J23" i="24"/>
  <c r="I23" i="24"/>
  <c r="H23" i="24"/>
  <c r="G23" i="24"/>
  <c r="F23" i="24"/>
  <c r="E23" i="24"/>
  <c r="D23" i="24"/>
  <c r="B23" i="24"/>
  <c r="M22" i="24"/>
  <c r="L22" i="24"/>
  <c r="K22" i="24"/>
  <c r="J22" i="24"/>
  <c r="I22" i="24"/>
  <c r="H22" i="24"/>
  <c r="G22" i="24"/>
  <c r="F22" i="24"/>
  <c r="E22" i="24"/>
  <c r="D22" i="24"/>
  <c r="B22" i="24"/>
  <c r="M21" i="24"/>
  <c r="L21" i="24"/>
  <c r="K21" i="24"/>
  <c r="J21" i="24"/>
  <c r="I21" i="24"/>
  <c r="H21" i="24"/>
  <c r="G21" i="24"/>
  <c r="F21" i="24"/>
  <c r="E21" i="24"/>
  <c r="D21" i="24"/>
  <c r="B21" i="24"/>
  <c r="M20" i="24"/>
  <c r="L20" i="24"/>
  <c r="K20" i="24"/>
  <c r="J20" i="24"/>
  <c r="I20" i="24"/>
  <c r="H20" i="24"/>
  <c r="G20" i="24"/>
  <c r="F20" i="24"/>
  <c r="E20" i="24"/>
  <c r="D20" i="24"/>
  <c r="B20" i="24"/>
  <c r="M19" i="24"/>
  <c r="L19" i="24"/>
  <c r="K19" i="24"/>
  <c r="J19" i="24"/>
  <c r="I19" i="24"/>
  <c r="H19" i="24"/>
  <c r="G19" i="24"/>
  <c r="F19" i="24"/>
  <c r="E19" i="24"/>
  <c r="D19" i="24"/>
  <c r="Q19" i="24" s="1"/>
  <c r="B19" i="24"/>
  <c r="M18" i="24"/>
  <c r="L18" i="24"/>
  <c r="K18" i="24"/>
  <c r="J18" i="24"/>
  <c r="I18" i="24"/>
  <c r="H18" i="24"/>
  <c r="G18" i="24"/>
  <c r="F18" i="24"/>
  <c r="E18" i="24"/>
  <c r="D18" i="24"/>
  <c r="B18" i="24"/>
  <c r="M17" i="24"/>
  <c r="L17" i="24"/>
  <c r="K17" i="24"/>
  <c r="J17" i="24"/>
  <c r="I17" i="24"/>
  <c r="H17" i="24"/>
  <c r="G17" i="24"/>
  <c r="F17" i="24"/>
  <c r="E17" i="24"/>
  <c r="D17" i="24"/>
  <c r="B17" i="24"/>
  <c r="M16" i="24"/>
  <c r="L16" i="24"/>
  <c r="K16" i="24"/>
  <c r="J16" i="24"/>
  <c r="I16" i="24"/>
  <c r="H16" i="24"/>
  <c r="G16" i="24"/>
  <c r="F16" i="24"/>
  <c r="E16" i="24"/>
  <c r="D16" i="24"/>
  <c r="B16" i="24"/>
  <c r="M15" i="24"/>
  <c r="L15" i="24"/>
  <c r="K15" i="24"/>
  <c r="J15" i="24"/>
  <c r="I15" i="24"/>
  <c r="H15" i="24"/>
  <c r="G15" i="24"/>
  <c r="F15" i="24"/>
  <c r="E15" i="24"/>
  <c r="D15" i="24"/>
  <c r="Q15" i="24" s="1"/>
  <c r="B15" i="24"/>
  <c r="M14" i="24"/>
  <c r="L14" i="24"/>
  <c r="K14" i="24"/>
  <c r="J14" i="24"/>
  <c r="I14" i="24"/>
  <c r="H14" i="24"/>
  <c r="G14" i="24"/>
  <c r="F14" i="24"/>
  <c r="E14" i="24"/>
  <c r="D14" i="24"/>
  <c r="Q14" i="24" s="1"/>
  <c r="B14" i="24"/>
  <c r="M13" i="24"/>
  <c r="L13" i="24"/>
  <c r="K13" i="24"/>
  <c r="J13" i="24"/>
  <c r="I13" i="24"/>
  <c r="H13" i="24"/>
  <c r="G13" i="24"/>
  <c r="F13" i="24"/>
  <c r="E13" i="24"/>
  <c r="D13" i="24"/>
  <c r="Q13" i="24" s="1"/>
  <c r="B13" i="24"/>
  <c r="M12" i="24"/>
  <c r="L12" i="24"/>
  <c r="K12" i="24"/>
  <c r="J12" i="24"/>
  <c r="I12" i="24"/>
  <c r="H12" i="24"/>
  <c r="G12" i="24"/>
  <c r="F12" i="24"/>
  <c r="E12" i="24"/>
  <c r="D12" i="24"/>
  <c r="B12" i="24"/>
  <c r="M11" i="24"/>
  <c r="M10" i="24" s="1"/>
  <c r="L11" i="24"/>
  <c r="L10" i="24" s="1"/>
  <c r="L36" i="24" s="1"/>
  <c r="K11" i="24"/>
  <c r="J11" i="24"/>
  <c r="I11" i="24"/>
  <c r="I10" i="24" s="1"/>
  <c r="I36" i="24" s="1"/>
  <c r="H11" i="24"/>
  <c r="G11" i="24"/>
  <c r="F11" i="24"/>
  <c r="E11" i="24"/>
  <c r="D11" i="24"/>
  <c r="B11" i="24"/>
  <c r="O10" i="24"/>
  <c r="O36" i="24" s="1"/>
  <c r="N10" i="24"/>
  <c r="K10" i="24"/>
  <c r="K36" i="24" s="1"/>
  <c r="J10" i="24"/>
  <c r="J36" i="24" s="1"/>
  <c r="H10" i="24"/>
  <c r="H36" i="24" s="1"/>
  <c r="H37" i="24" s="1"/>
  <c r="G10" i="24"/>
  <c r="O8" i="24"/>
  <c r="N8" i="24"/>
  <c r="M8" i="24"/>
  <c r="L8" i="24"/>
  <c r="K8" i="24"/>
  <c r="J8" i="24"/>
  <c r="I8" i="24"/>
  <c r="H8" i="24"/>
  <c r="G8" i="24"/>
  <c r="F8" i="24"/>
  <c r="E8" i="24"/>
  <c r="D8" i="24"/>
  <c r="Q97" i="21"/>
  <c r="M92" i="21"/>
  <c r="L92" i="21"/>
  <c r="K92" i="21"/>
  <c r="Q92" i="21" s="1"/>
  <c r="J92" i="21"/>
  <c r="I92" i="21"/>
  <c r="H92" i="21"/>
  <c r="G92" i="21"/>
  <c r="F92" i="21"/>
  <c r="E92" i="21"/>
  <c r="D92" i="21"/>
  <c r="Q90" i="21"/>
  <c r="B90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B89" i="21"/>
  <c r="Q88" i="21"/>
  <c r="B88" i="21"/>
  <c r="Q87" i="21"/>
  <c r="B87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Q86" i="21" s="1"/>
  <c r="B86" i="21"/>
  <c r="Q85" i="21"/>
  <c r="B85" i="21"/>
  <c r="Q84" i="21"/>
  <c r="B84" i="21"/>
  <c r="Q83" i="21"/>
  <c r="B83" i="21"/>
  <c r="Q82" i="21"/>
  <c r="B82" i="21"/>
  <c r="Q81" i="21"/>
  <c r="B81" i="21"/>
  <c r="Q80" i="21"/>
  <c r="B80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B79" i="21"/>
  <c r="Q78" i="21"/>
  <c r="B78" i="21"/>
  <c r="Q77" i="21"/>
  <c r="B77" i="21"/>
  <c r="Q76" i="21"/>
  <c r="B76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B75" i="21"/>
  <c r="Q74" i="21"/>
  <c r="B74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Q70" i="21" s="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Q66" i="21" s="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Q64" i="21" s="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Q62" i="21" s="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Q60" i="21" s="1"/>
  <c r="B60" i="21"/>
  <c r="Q59" i="21"/>
  <c r="B59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Q58" i="21" s="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O53" i="21"/>
  <c r="O27" i="21" s="1"/>
  <c r="N53" i="21"/>
  <c r="M53" i="21"/>
  <c r="L53" i="21"/>
  <c r="K53" i="21"/>
  <c r="J53" i="21"/>
  <c r="I53" i="21"/>
  <c r="H53" i="21"/>
  <c r="G53" i="21"/>
  <c r="F53" i="21"/>
  <c r="E53" i="21"/>
  <c r="D53" i="21"/>
  <c r="Q53" i="21" s="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F27" i="21" s="1"/>
  <c r="E51" i="21"/>
  <c r="D51" i="21"/>
  <c r="B51" i="21"/>
  <c r="Q50" i="21"/>
  <c r="B50" i="21"/>
  <c r="O49" i="21"/>
  <c r="N49" i="21"/>
  <c r="M49" i="21"/>
  <c r="L49" i="21"/>
  <c r="K49" i="21"/>
  <c r="J49" i="21"/>
  <c r="J27" i="21" s="1"/>
  <c r="I49" i="21"/>
  <c r="H49" i="21"/>
  <c r="G49" i="21"/>
  <c r="F49" i="21"/>
  <c r="E49" i="21"/>
  <c r="D49" i="2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K38" i="21"/>
  <c r="J38" i="21"/>
  <c r="I38" i="21"/>
  <c r="I27" i="21" s="1"/>
  <c r="H38" i="21"/>
  <c r="G38" i="21"/>
  <c r="F38" i="21"/>
  <c r="E38" i="21"/>
  <c r="D38" i="21"/>
  <c r="Q38" i="21" s="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O28" i="21"/>
  <c r="N28" i="21"/>
  <c r="M28" i="21"/>
  <c r="L28" i="21"/>
  <c r="L27" i="21" s="1"/>
  <c r="L94" i="21" s="1"/>
  <c r="K28" i="21"/>
  <c r="J28" i="21"/>
  <c r="I28" i="21"/>
  <c r="H28" i="21"/>
  <c r="H27" i="21" s="1"/>
  <c r="G28" i="21"/>
  <c r="F28" i="21"/>
  <c r="E28" i="21"/>
  <c r="D28" i="21"/>
  <c r="B28" i="21"/>
  <c r="G27" i="21"/>
  <c r="H25" i="21"/>
  <c r="N24" i="21"/>
  <c r="N25" i="21" s="1"/>
  <c r="L24" i="21"/>
  <c r="L25" i="21" s="1"/>
  <c r="K24" i="21"/>
  <c r="K25" i="21" s="1"/>
  <c r="I24" i="21"/>
  <c r="H24" i="21"/>
  <c r="Q22" i="21"/>
  <c r="B22" i="21"/>
  <c r="Q21" i="21"/>
  <c r="B21" i="21"/>
  <c r="Q20" i="21"/>
  <c r="B20" i="21"/>
  <c r="Q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Q17" i="21"/>
  <c r="M17" i="21"/>
  <c r="L17" i="21"/>
  <c r="K17" i="21"/>
  <c r="J17" i="21"/>
  <c r="I17" i="21"/>
  <c r="H17" i="21"/>
  <c r="G17" i="21"/>
  <c r="F17" i="21"/>
  <c r="E17" i="21"/>
  <c r="D17" i="21"/>
  <c r="B17" i="21"/>
  <c r="Q16" i="21"/>
  <c r="M16" i="21"/>
  <c r="L16" i="21"/>
  <c r="K16" i="21"/>
  <c r="J16" i="21"/>
  <c r="I16" i="21"/>
  <c r="H16" i="21"/>
  <c r="G16" i="21"/>
  <c r="F16" i="21"/>
  <c r="E16" i="21"/>
  <c r="D16" i="21"/>
  <c r="B16" i="21"/>
  <c r="Q15" i="21"/>
  <c r="M15" i="21"/>
  <c r="L15" i="21"/>
  <c r="K15" i="21"/>
  <c r="J15" i="21"/>
  <c r="I15" i="21"/>
  <c r="H15" i="21"/>
  <c r="G15" i="21"/>
  <c r="F15" i="21"/>
  <c r="E15" i="21"/>
  <c r="D15" i="21"/>
  <c r="B15" i="21"/>
  <c r="Q14" i="21"/>
  <c r="M14" i="21"/>
  <c r="L14" i="21"/>
  <c r="K14" i="21"/>
  <c r="J14" i="21"/>
  <c r="I14" i="21"/>
  <c r="H14" i="21"/>
  <c r="G14" i="21"/>
  <c r="F14" i="21"/>
  <c r="E14" i="21"/>
  <c r="D14" i="21"/>
  <c r="B14" i="21"/>
  <c r="Q13" i="21"/>
  <c r="M13" i="21"/>
  <c r="L13" i="21"/>
  <c r="K13" i="21"/>
  <c r="J13" i="21"/>
  <c r="I13" i="21"/>
  <c r="H13" i="21"/>
  <c r="G13" i="21"/>
  <c r="F13" i="21"/>
  <c r="E13" i="21"/>
  <c r="D13" i="21"/>
  <c r="B13" i="21"/>
  <c r="Q12" i="21"/>
  <c r="M12" i="21"/>
  <c r="L12" i="21"/>
  <c r="K12" i="21"/>
  <c r="J12" i="21"/>
  <c r="I12" i="21"/>
  <c r="H12" i="21"/>
  <c r="G12" i="21"/>
  <c r="F12" i="21"/>
  <c r="E12" i="21"/>
  <c r="D12" i="21"/>
  <c r="B12" i="21"/>
  <c r="Q11" i="21"/>
  <c r="M11" i="21"/>
  <c r="L11" i="21"/>
  <c r="K11" i="21"/>
  <c r="J11" i="21"/>
  <c r="J10" i="21" s="1"/>
  <c r="J24" i="21" s="1"/>
  <c r="I11" i="21"/>
  <c r="I10" i="21" s="1"/>
  <c r="H11" i="21"/>
  <c r="G11" i="21"/>
  <c r="F11" i="21"/>
  <c r="F10" i="21" s="1"/>
  <c r="F24" i="21" s="1"/>
  <c r="E11" i="21"/>
  <c r="D11" i="21"/>
  <c r="B11" i="21"/>
  <c r="Q10" i="21"/>
  <c r="O10" i="21"/>
  <c r="O24" i="21" s="1"/>
  <c r="N10" i="21"/>
  <c r="M10" i="21"/>
  <c r="M24" i="21" s="1"/>
  <c r="M25" i="21" s="1"/>
  <c r="L10" i="21"/>
  <c r="K10" i="21"/>
  <c r="H10" i="21"/>
  <c r="G10" i="21"/>
  <c r="G24" i="21" s="1"/>
  <c r="E10" i="21"/>
  <c r="E24" i="21" s="1"/>
  <c r="D10" i="21"/>
  <c r="D24" i="21" s="1"/>
  <c r="O8" i="21"/>
  <c r="N8" i="21"/>
  <c r="M8" i="21"/>
  <c r="L8" i="21"/>
  <c r="K8" i="21"/>
  <c r="J8" i="21"/>
  <c r="I8" i="21"/>
  <c r="H8" i="21"/>
  <c r="G8" i="21"/>
  <c r="F8" i="21"/>
  <c r="E8" i="21"/>
  <c r="D8" i="21"/>
  <c r="Q247" i="18"/>
  <c r="M242" i="18"/>
  <c r="L242" i="18"/>
  <c r="K242" i="18"/>
  <c r="J242" i="18"/>
  <c r="I242" i="18"/>
  <c r="H242" i="18"/>
  <c r="G242" i="18"/>
  <c r="F242" i="18"/>
  <c r="E242" i="18"/>
  <c r="D242" i="18"/>
  <c r="Q240" i="18"/>
  <c r="B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Q239" i="18" s="1"/>
  <c r="B239" i="18"/>
  <c r="Q238" i="18"/>
  <c r="B238" i="18"/>
  <c r="Q237" i="18"/>
  <c r="B237" i="18"/>
  <c r="Q236" i="18"/>
  <c r="B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Q235" i="18" s="1"/>
  <c r="B235" i="18"/>
  <c r="Q234" i="18"/>
  <c r="B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B233" i="18"/>
  <c r="Q232" i="18"/>
  <c r="B232" i="18"/>
  <c r="Q231" i="18"/>
  <c r="B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B230" i="18"/>
  <c r="Q229" i="18"/>
  <c r="B229" i="18"/>
  <c r="Q228" i="18"/>
  <c r="B228" i="18"/>
  <c r="Q227" i="18"/>
  <c r="B227" i="18"/>
  <c r="Q226" i="18"/>
  <c r="B226" i="18"/>
  <c r="Q225" i="18"/>
  <c r="B225" i="18"/>
  <c r="Q224" i="18"/>
  <c r="B224" i="18"/>
  <c r="Q223" i="18"/>
  <c r="B223" i="18"/>
  <c r="Q222" i="18"/>
  <c r="B222" i="18"/>
  <c r="Q221" i="18"/>
  <c r="B221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B220" i="18"/>
  <c r="Q219" i="18"/>
  <c r="B219" i="18"/>
  <c r="Q218" i="18"/>
  <c r="B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B217" i="18"/>
  <c r="Q216" i="18"/>
  <c r="B216" i="18"/>
  <c r="Q215" i="18"/>
  <c r="B215" i="18"/>
  <c r="Q214" i="18"/>
  <c r="B214" i="18"/>
  <c r="Q213" i="18"/>
  <c r="B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Q212" i="18" s="1"/>
  <c r="B212" i="18"/>
  <c r="Q211" i="18"/>
  <c r="B211" i="18"/>
  <c r="Q210" i="18"/>
  <c r="B210" i="18"/>
  <c r="Q209" i="18"/>
  <c r="B209" i="18"/>
  <c r="Q208" i="18"/>
  <c r="B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B207" i="18"/>
  <c r="Q206" i="18"/>
  <c r="B206" i="18"/>
  <c r="Q205" i="18"/>
  <c r="B205" i="18"/>
  <c r="Q204" i="18"/>
  <c r="B204" i="18"/>
  <c r="Q203" i="18"/>
  <c r="B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Q202" i="18" s="1"/>
  <c r="B202" i="18"/>
  <c r="Q201" i="18"/>
  <c r="B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Q200" i="18" s="1"/>
  <c r="B200" i="18"/>
  <c r="Q199" i="18"/>
  <c r="B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Q198" i="18" s="1"/>
  <c r="B198" i="18"/>
  <c r="Q197" i="18"/>
  <c r="B197" i="18"/>
  <c r="Q196" i="18"/>
  <c r="B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Q195" i="18" s="1"/>
  <c r="B195" i="18"/>
  <c r="Q194" i="18"/>
  <c r="B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Q193" i="18" s="1"/>
  <c r="B193" i="18"/>
  <c r="Q192" i="18"/>
  <c r="B192" i="18"/>
  <c r="Q191" i="18"/>
  <c r="B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Q190" i="18" s="1"/>
  <c r="B190" i="18"/>
  <c r="Q189" i="18"/>
  <c r="B189" i="18"/>
  <c r="Q188" i="18"/>
  <c r="B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B187" i="18"/>
  <c r="Q186" i="18"/>
  <c r="B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B185" i="18"/>
  <c r="Q184" i="18"/>
  <c r="B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Q183" i="18" s="1"/>
  <c r="B183" i="18"/>
  <c r="Q182" i="18"/>
  <c r="B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B181" i="18"/>
  <c r="Q180" i="18"/>
  <c r="B180" i="18"/>
  <c r="Q179" i="18"/>
  <c r="B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D145" i="18" s="1"/>
  <c r="B178" i="18"/>
  <c r="Q177" i="18"/>
  <c r="B177" i="18"/>
  <c r="Q176" i="18"/>
  <c r="B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Q175" i="18" s="1"/>
  <c r="B175" i="18"/>
  <c r="Q174" i="18"/>
  <c r="B174" i="18"/>
  <c r="O173" i="18"/>
  <c r="N173" i="18"/>
  <c r="N145" i="18" s="1"/>
  <c r="M173" i="18"/>
  <c r="L173" i="18"/>
  <c r="K173" i="18"/>
  <c r="J173" i="18"/>
  <c r="I173" i="18"/>
  <c r="H173" i="18"/>
  <c r="G173" i="18"/>
  <c r="F173" i="18"/>
  <c r="E173" i="18"/>
  <c r="D173" i="18"/>
  <c r="B173" i="18"/>
  <c r="Q172" i="18"/>
  <c r="B172" i="18"/>
  <c r="Q171" i="18"/>
  <c r="B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B170" i="18"/>
  <c r="Q169" i="18"/>
  <c r="B169" i="18"/>
  <c r="O168" i="18"/>
  <c r="N168" i="18"/>
  <c r="M168" i="18"/>
  <c r="L168" i="18"/>
  <c r="K168" i="18"/>
  <c r="J168" i="18"/>
  <c r="J145" i="18" s="1"/>
  <c r="I168" i="18"/>
  <c r="H168" i="18"/>
  <c r="G168" i="18"/>
  <c r="F168" i="18"/>
  <c r="E168" i="18"/>
  <c r="D168" i="18"/>
  <c r="B168" i="18"/>
  <c r="Q167" i="18"/>
  <c r="B167" i="18"/>
  <c r="Q166" i="18"/>
  <c r="B166" i="18"/>
  <c r="Q165" i="18"/>
  <c r="B165" i="18"/>
  <c r="Q164" i="18"/>
  <c r="B164" i="18"/>
  <c r="Q163" i="18"/>
  <c r="B163" i="18"/>
  <c r="Q162" i="18"/>
  <c r="B162" i="18"/>
  <c r="Q161" i="18"/>
  <c r="B161" i="18"/>
  <c r="Q160" i="18"/>
  <c r="B160" i="18"/>
  <c r="Q159" i="18"/>
  <c r="B159" i="18"/>
  <c r="Q158" i="18"/>
  <c r="B158" i="18"/>
  <c r="O157" i="18"/>
  <c r="N157" i="18"/>
  <c r="M157" i="18"/>
  <c r="L157" i="18"/>
  <c r="K157" i="18"/>
  <c r="J157" i="18"/>
  <c r="I157" i="18"/>
  <c r="H157" i="18"/>
  <c r="H145" i="18" s="1"/>
  <c r="G157" i="18"/>
  <c r="G145" i="18" s="1"/>
  <c r="F157" i="18"/>
  <c r="E157" i="18"/>
  <c r="D157" i="18"/>
  <c r="B157" i="18"/>
  <c r="Q156" i="18"/>
  <c r="B156" i="18"/>
  <c r="Q155" i="18"/>
  <c r="B155" i="18"/>
  <c r="Q154" i="18"/>
  <c r="B154" i="18"/>
  <c r="Q153" i="18"/>
  <c r="B153" i="18"/>
  <c r="Q152" i="18"/>
  <c r="B152" i="18"/>
  <c r="Q151" i="18"/>
  <c r="B151" i="18"/>
  <c r="Q150" i="18"/>
  <c r="B150" i="18"/>
  <c r="Q149" i="18"/>
  <c r="B149" i="18"/>
  <c r="Q148" i="18"/>
  <c r="B148" i="18"/>
  <c r="Q147" i="18"/>
  <c r="B147" i="18"/>
  <c r="O146" i="18"/>
  <c r="N146" i="18"/>
  <c r="M146" i="18"/>
  <c r="L146" i="18"/>
  <c r="K146" i="18"/>
  <c r="J146" i="18"/>
  <c r="I146" i="18"/>
  <c r="I145" i="18" s="1"/>
  <c r="H146" i="18"/>
  <c r="G146" i="18"/>
  <c r="F146" i="18"/>
  <c r="E146" i="18"/>
  <c r="E145" i="18" s="1"/>
  <c r="D146" i="18"/>
  <c r="Q146" i="18" s="1"/>
  <c r="B146" i="18"/>
  <c r="Q140" i="18"/>
  <c r="B140" i="18"/>
  <c r="Q139" i="18"/>
  <c r="B139" i="18"/>
  <c r="Q138" i="18"/>
  <c r="B138" i="18"/>
  <c r="Q137" i="18"/>
  <c r="B137" i="18"/>
  <c r="Q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M90" i="18"/>
  <c r="L90" i="18"/>
  <c r="K90" i="18"/>
  <c r="J90" i="18"/>
  <c r="I90" i="18"/>
  <c r="H90" i="18"/>
  <c r="G90" i="18"/>
  <c r="F90" i="18"/>
  <c r="E90" i="18"/>
  <c r="D90" i="18"/>
  <c r="B90" i="18"/>
  <c r="M89" i="18"/>
  <c r="L89" i="18"/>
  <c r="K89" i="18"/>
  <c r="J89" i="18"/>
  <c r="I89" i="18"/>
  <c r="H89" i="18"/>
  <c r="G89" i="18"/>
  <c r="F89" i="18"/>
  <c r="E89" i="18"/>
  <c r="D89" i="18"/>
  <c r="B89" i="18"/>
  <c r="M88" i="18"/>
  <c r="L88" i="18"/>
  <c r="K88" i="18"/>
  <c r="J88" i="18"/>
  <c r="I88" i="18"/>
  <c r="H88" i="18"/>
  <c r="G88" i="18"/>
  <c r="F88" i="18"/>
  <c r="E88" i="18"/>
  <c r="D88" i="18"/>
  <c r="B88" i="18"/>
  <c r="M87" i="18"/>
  <c r="L87" i="18"/>
  <c r="K87" i="18"/>
  <c r="J87" i="18"/>
  <c r="I87" i="18"/>
  <c r="H87" i="18"/>
  <c r="G87" i="18"/>
  <c r="F87" i="18"/>
  <c r="E87" i="18"/>
  <c r="D87" i="18"/>
  <c r="B87" i="18"/>
  <c r="M86" i="18"/>
  <c r="L86" i="18"/>
  <c r="K86" i="18"/>
  <c r="J86" i="18"/>
  <c r="I86" i="18"/>
  <c r="H86" i="18"/>
  <c r="G86" i="18"/>
  <c r="F86" i="18"/>
  <c r="E86" i="18"/>
  <c r="D86" i="18"/>
  <c r="B86" i="18"/>
  <c r="M85" i="18"/>
  <c r="L85" i="18"/>
  <c r="K85" i="18"/>
  <c r="J85" i="18"/>
  <c r="I85" i="18"/>
  <c r="H85" i="18"/>
  <c r="G85" i="18"/>
  <c r="F85" i="18"/>
  <c r="E85" i="18"/>
  <c r="D85" i="18"/>
  <c r="B85" i="18"/>
  <c r="M84" i="18"/>
  <c r="L84" i="18"/>
  <c r="K84" i="18"/>
  <c r="J84" i="18"/>
  <c r="I84" i="18"/>
  <c r="H84" i="18"/>
  <c r="G84" i="18"/>
  <c r="F84" i="18"/>
  <c r="E84" i="18"/>
  <c r="D84" i="18"/>
  <c r="B84" i="18"/>
  <c r="M83" i="18"/>
  <c r="L83" i="18"/>
  <c r="K83" i="18"/>
  <c r="J83" i="18"/>
  <c r="I83" i="18"/>
  <c r="H83" i="18"/>
  <c r="G83" i="18"/>
  <c r="F83" i="18"/>
  <c r="E83" i="18"/>
  <c r="Q83" i="18" s="1"/>
  <c r="D83" i="18"/>
  <c r="B83" i="18"/>
  <c r="M82" i="18"/>
  <c r="L82" i="18"/>
  <c r="K82" i="18"/>
  <c r="J82" i="18"/>
  <c r="I82" i="18"/>
  <c r="H82" i="18"/>
  <c r="G82" i="18"/>
  <c r="F82" i="18"/>
  <c r="E82" i="18"/>
  <c r="Q82" i="18" s="1"/>
  <c r="D82" i="18"/>
  <c r="B82" i="18"/>
  <c r="M81" i="18"/>
  <c r="L81" i="18"/>
  <c r="K81" i="18"/>
  <c r="J81" i="18"/>
  <c r="I81" i="18"/>
  <c r="H81" i="18"/>
  <c r="G81" i="18"/>
  <c r="F81" i="18"/>
  <c r="E81" i="18"/>
  <c r="D81" i="18"/>
  <c r="B81" i="18"/>
  <c r="M80" i="18"/>
  <c r="L80" i="18"/>
  <c r="K80" i="18"/>
  <c r="J80" i="18"/>
  <c r="I80" i="18"/>
  <c r="H80" i="18"/>
  <c r="G80" i="18"/>
  <c r="F80" i="18"/>
  <c r="E80" i="18"/>
  <c r="D80" i="18"/>
  <c r="B80" i="18"/>
  <c r="M79" i="18"/>
  <c r="L79" i="18"/>
  <c r="K79" i="18"/>
  <c r="J79" i="18"/>
  <c r="I79" i="18"/>
  <c r="H79" i="18"/>
  <c r="G79" i="18"/>
  <c r="F79" i="18"/>
  <c r="E79" i="18"/>
  <c r="D79" i="18"/>
  <c r="B79" i="18"/>
  <c r="M78" i="18"/>
  <c r="L78" i="18"/>
  <c r="K78" i="18"/>
  <c r="J78" i="18"/>
  <c r="I78" i="18"/>
  <c r="H78" i="18"/>
  <c r="G78" i="18"/>
  <c r="F78" i="18"/>
  <c r="E78" i="18"/>
  <c r="D78" i="18"/>
  <c r="B78" i="18"/>
  <c r="M77" i="18"/>
  <c r="L77" i="18"/>
  <c r="K77" i="18"/>
  <c r="J77" i="18"/>
  <c r="I77" i="18"/>
  <c r="H77" i="18"/>
  <c r="G77" i="18"/>
  <c r="F77" i="18"/>
  <c r="E77" i="18"/>
  <c r="D77" i="18"/>
  <c r="B77" i="18"/>
  <c r="M76" i="18"/>
  <c r="L76" i="18"/>
  <c r="K76" i="18"/>
  <c r="J76" i="18"/>
  <c r="I76" i="18"/>
  <c r="H76" i="18"/>
  <c r="G76" i="18"/>
  <c r="F76" i="18"/>
  <c r="E76" i="18"/>
  <c r="D76" i="18"/>
  <c r="B76" i="18"/>
  <c r="M75" i="18"/>
  <c r="L75" i="18"/>
  <c r="K75" i="18"/>
  <c r="J75" i="18"/>
  <c r="I75" i="18"/>
  <c r="H75" i="18"/>
  <c r="G75" i="18"/>
  <c r="F75" i="18"/>
  <c r="E75" i="18"/>
  <c r="D75" i="18"/>
  <c r="B75" i="18"/>
  <c r="M74" i="18"/>
  <c r="L74" i="18"/>
  <c r="K74" i="18"/>
  <c r="J74" i="18"/>
  <c r="I74" i="18"/>
  <c r="H74" i="18"/>
  <c r="G74" i="18"/>
  <c r="F74" i="18"/>
  <c r="E74" i="18"/>
  <c r="D74" i="18"/>
  <c r="B74" i="18"/>
  <c r="M73" i="18"/>
  <c r="L73" i="18"/>
  <c r="K73" i="18"/>
  <c r="J73" i="18"/>
  <c r="I73" i="18"/>
  <c r="H73" i="18"/>
  <c r="G73" i="18"/>
  <c r="F73" i="18"/>
  <c r="E73" i="18"/>
  <c r="D73" i="18"/>
  <c r="B73" i="18"/>
  <c r="M72" i="18"/>
  <c r="L72" i="18"/>
  <c r="K72" i="18"/>
  <c r="J72" i="18"/>
  <c r="I72" i="18"/>
  <c r="H72" i="18"/>
  <c r="G72" i="18"/>
  <c r="F72" i="18"/>
  <c r="E72" i="18"/>
  <c r="D72" i="18"/>
  <c r="B72" i="18"/>
  <c r="M71" i="18"/>
  <c r="L71" i="18"/>
  <c r="K71" i="18"/>
  <c r="J71" i="18"/>
  <c r="I71" i="18"/>
  <c r="H71" i="18"/>
  <c r="G71" i="18"/>
  <c r="F71" i="18"/>
  <c r="E71" i="18"/>
  <c r="Q71" i="18" s="1"/>
  <c r="D71" i="18"/>
  <c r="B71" i="18"/>
  <c r="M70" i="18"/>
  <c r="L70" i="18"/>
  <c r="K70" i="18"/>
  <c r="J70" i="18"/>
  <c r="I70" i="18"/>
  <c r="H70" i="18"/>
  <c r="G70" i="18"/>
  <c r="F70" i="18"/>
  <c r="E70" i="18"/>
  <c r="Q70" i="18" s="1"/>
  <c r="D70" i="18"/>
  <c r="B70" i="18"/>
  <c r="M69" i="18"/>
  <c r="L69" i="18"/>
  <c r="K69" i="18"/>
  <c r="J69" i="18"/>
  <c r="I69" i="18"/>
  <c r="H69" i="18"/>
  <c r="G69" i="18"/>
  <c r="F69" i="18"/>
  <c r="E69" i="18"/>
  <c r="D69" i="18"/>
  <c r="B69" i="18"/>
  <c r="M68" i="18"/>
  <c r="L68" i="18"/>
  <c r="K68" i="18"/>
  <c r="J68" i="18"/>
  <c r="I68" i="18"/>
  <c r="H68" i="18"/>
  <c r="G68" i="18"/>
  <c r="F68" i="18"/>
  <c r="E68" i="18"/>
  <c r="D68" i="18"/>
  <c r="B68" i="18"/>
  <c r="M67" i="18"/>
  <c r="L67" i="18"/>
  <c r="K67" i="18"/>
  <c r="J67" i="18"/>
  <c r="I67" i="18"/>
  <c r="H67" i="18"/>
  <c r="G67" i="18"/>
  <c r="F67" i="18"/>
  <c r="E67" i="18"/>
  <c r="D67" i="18"/>
  <c r="B67" i="18"/>
  <c r="M66" i="18"/>
  <c r="L66" i="18"/>
  <c r="K66" i="18"/>
  <c r="J66" i="18"/>
  <c r="I66" i="18"/>
  <c r="H66" i="18"/>
  <c r="G66" i="18"/>
  <c r="F66" i="18"/>
  <c r="E66" i="18"/>
  <c r="D66" i="18"/>
  <c r="B66" i="18"/>
  <c r="M65" i="18"/>
  <c r="L65" i="18"/>
  <c r="K65" i="18"/>
  <c r="J65" i="18"/>
  <c r="I65" i="18"/>
  <c r="H65" i="18"/>
  <c r="G65" i="18"/>
  <c r="F65" i="18"/>
  <c r="E65" i="18"/>
  <c r="D65" i="18"/>
  <c r="B65" i="18"/>
  <c r="M64" i="18"/>
  <c r="L64" i="18"/>
  <c r="K64" i="18"/>
  <c r="J64" i="18"/>
  <c r="I64" i="18"/>
  <c r="H64" i="18"/>
  <c r="G64" i="18"/>
  <c r="F64" i="18"/>
  <c r="E64" i="18"/>
  <c r="D64" i="18"/>
  <c r="B64" i="18"/>
  <c r="M63" i="18"/>
  <c r="L63" i="18"/>
  <c r="K63" i="18"/>
  <c r="J63" i="18"/>
  <c r="I63" i="18"/>
  <c r="H63" i="18"/>
  <c r="G63" i="18"/>
  <c r="F63" i="18"/>
  <c r="E63" i="18"/>
  <c r="D63" i="18"/>
  <c r="B63" i="18"/>
  <c r="M62" i="18"/>
  <c r="L62" i="18"/>
  <c r="K62" i="18"/>
  <c r="J62" i="18"/>
  <c r="I62" i="18"/>
  <c r="H62" i="18"/>
  <c r="G62" i="18"/>
  <c r="F62" i="18"/>
  <c r="E62" i="18"/>
  <c r="D62" i="18"/>
  <c r="B62" i="18"/>
  <c r="M61" i="18"/>
  <c r="L61" i="18"/>
  <c r="K61" i="18"/>
  <c r="J61" i="18"/>
  <c r="I61" i="18"/>
  <c r="H61" i="18"/>
  <c r="G61" i="18"/>
  <c r="F61" i="18"/>
  <c r="E61" i="18"/>
  <c r="D61" i="18"/>
  <c r="B61" i="18"/>
  <c r="M60" i="18"/>
  <c r="L60" i="18"/>
  <c r="K60" i="18"/>
  <c r="J60" i="18"/>
  <c r="I60" i="18"/>
  <c r="H60" i="18"/>
  <c r="G60" i="18"/>
  <c r="F60" i="18"/>
  <c r="E60" i="18"/>
  <c r="D60" i="18"/>
  <c r="B60" i="18"/>
  <c r="M59" i="18"/>
  <c r="L59" i="18"/>
  <c r="K59" i="18"/>
  <c r="J59" i="18"/>
  <c r="I59" i="18"/>
  <c r="H59" i="18"/>
  <c r="G59" i="18"/>
  <c r="F59" i="18"/>
  <c r="E59" i="18"/>
  <c r="Q59" i="18" s="1"/>
  <c r="D59" i="18"/>
  <c r="B59" i="18"/>
  <c r="M58" i="18"/>
  <c r="L58" i="18"/>
  <c r="K58" i="18"/>
  <c r="J58" i="18"/>
  <c r="I58" i="18"/>
  <c r="H58" i="18"/>
  <c r="G58" i="18"/>
  <c r="F58" i="18"/>
  <c r="E58" i="18"/>
  <c r="Q58" i="18" s="1"/>
  <c r="D58" i="18"/>
  <c r="B58" i="18"/>
  <c r="M57" i="18"/>
  <c r="L57" i="18"/>
  <c r="K57" i="18"/>
  <c r="J57" i="18"/>
  <c r="I57" i="18"/>
  <c r="H57" i="18"/>
  <c r="G57" i="18"/>
  <c r="F57" i="18"/>
  <c r="E57" i="18"/>
  <c r="D57" i="18"/>
  <c r="B57" i="18"/>
  <c r="M56" i="18"/>
  <c r="L56" i="18"/>
  <c r="K56" i="18"/>
  <c r="J56" i="18"/>
  <c r="I56" i="18"/>
  <c r="H56" i="18"/>
  <c r="G56" i="18"/>
  <c r="F56" i="18"/>
  <c r="E56" i="18"/>
  <c r="D56" i="18"/>
  <c r="B56" i="18"/>
  <c r="M55" i="18"/>
  <c r="L55" i="18"/>
  <c r="K55" i="18"/>
  <c r="J55" i="18"/>
  <c r="I55" i="18"/>
  <c r="H55" i="18"/>
  <c r="G55" i="18"/>
  <c r="F55" i="18"/>
  <c r="E55" i="18"/>
  <c r="D55" i="18"/>
  <c r="B55" i="18"/>
  <c r="M54" i="18"/>
  <c r="L54" i="18"/>
  <c r="K54" i="18"/>
  <c r="J54" i="18"/>
  <c r="I54" i="18"/>
  <c r="H54" i="18"/>
  <c r="G54" i="18"/>
  <c r="F54" i="18"/>
  <c r="E54" i="18"/>
  <c r="D54" i="18"/>
  <c r="B54" i="18"/>
  <c r="M53" i="18"/>
  <c r="L53" i="18"/>
  <c r="K53" i="18"/>
  <c r="J53" i="18"/>
  <c r="I53" i="18"/>
  <c r="H53" i="18"/>
  <c r="G53" i="18"/>
  <c r="F53" i="18"/>
  <c r="E53" i="18"/>
  <c r="D53" i="18"/>
  <c r="B53" i="18"/>
  <c r="M52" i="18"/>
  <c r="L52" i="18"/>
  <c r="K52" i="18"/>
  <c r="J52" i="18"/>
  <c r="I52" i="18"/>
  <c r="H52" i="18"/>
  <c r="G52" i="18"/>
  <c r="F52" i="18"/>
  <c r="E52" i="18"/>
  <c r="D52" i="18"/>
  <c r="B52" i="18"/>
  <c r="M51" i="18"/>
  <c r="L51" i="18"/>
  <c r="K51" i="18"/>
  <c r="J51" i="18"/>
  <c r="I51" i="18"/>
  <c r="H51" i="18"/>
  <c r="G51" i="18"/>
  <c r="F51" i="18"/>
  <c r="E51" i="18"/>
  <c r="D51" i="18"/>
  <c r="B51" i="18"/>
  <c r="M50" i="18"/>
  <c r="L50" i="18"/>
  <c r="K50" i="18"/>
  <c r="J50" i="18"/>
  <c r="I50" i="18"/>
  <c r="H50" i="18"/>
  <c r="G50" i="18"/>
  <c r="F50" i="18"/>
  <c r="E50" i="18"/>
  <c r="D50" i="18"/>
  <c r="B50" i="18"/>
  <c r="M49" i="18"/>
  <c r="L49" i="18"/>
  <c r="K49" i="18"/>
  <c r="J49" i="18"/>
  <c r="I49" i="18"/>
  <c r="H49" i="18"/>
  <c r="G49" i="18"/>
  <c r="F49" i="18"/>
  <c r="E49" i="18"/>
  <c r="D49" i="18"/>
  <c r="B49" i="18"/>
  <c r="M48" i="18"/>
  <c r="L48" i="18"/>
  <c r="K48" i="18"/>
  <c r="J48" i="18"/>
  <c r="I48" i="18"/>
  <c r="H48" i="18"/>
  <c r="G48" i="18"/>
  <c r="F48" i="18"/>
  <c r="E48" i="18"/>
  <c r="D48" i="18"/>
  <c r="B48" i="18"/>
  <c r="M47" i="18"/>
  <c r="L47" i="18"/>
  <c r="K47" i="18"/>
  <c r="J47" i="18"/>
  <c r="I47" i="18"/>
  <c r="H47" i="18"/>
  <c r="G47" i="18"/>
  <c r="F47" i="18"/>
  <c r="E47" i="18"/>
  <c r="Q47" i="18" s="1"/>
  <c r="D47" i="18"/>
  <c r="B47" i="18"/>
  <c r="M46" i="18"/>
  <c r="L46" i="18"/>
  <c r="K46" i="18"/>
  <c r="J46" i="18"/>
  <c r="I46" i="18"/>
  <c r="H46" i="18"/>
  <c r="G46" i="18"/>
  <c r="F46" i="18"/>
  <c r="E46" i="18"/>
  <c r="Q46" i="18" s="1"/>
  <c r="D46" i="18"/>
  <c r="B46" i="18"/>
  <c r="M45" i="18"/>
  <c r="L45" i="18"/>
  <c r="K45" i="18"/>
  <c r="J45" i="18"/>
  <c r="I45" i="18"/>
  <c r="H45" i="18"/>
  <c r="G45" i="18"/>
  <c r="F45" i="18"/>
  <c r="E45" i="18"/>
  <c r="D45" i="18"/>
  <c r="B45" i="18"/>
  <c r="M44" i="18"/>
  <c r="L44" i="18"/>
  <c r="K44" i="18"/>
  <c r="J44" i="18"/>
  <c r="I44" i="18"/>
  <c r="H44" i="18"/>
  <c r="G44" i="18"/>
  <c r="F44" i="18"/>
  <c r="E44" i="18"/>
  <c r="D44" i="18"/>
  <c r="B44" i="18"/>
  <c r="M43" i="18"/>
  <c r="L43" i="18"/>
  <c r="K43" i="18"/>
  <c r="J43" i="18"/>
  <c r="I43" i="18"/>
  <c r="H43" i="18"/>
  <c r="G43" i="18"/>
  <c r="F43" i="18"/>
  <c r="E43" i="18"/>
  <c r="D43" i="18"/>
  <c r="B43" i="18"/>
  <c r="M42" i="18"/>
  <c r="L42" i="18"/>
  <c r="K42" i="18"/>
  <c r="J42" i="18"/>
  <c r="I42" i="18"/>
  <c r="H42" i="18"/>
  <c r="G42" i="18"/>
  <c r="F42" i="18"/>
  <c r="E42" i="18"/>
  <c r="D42" i="18"/>
  <c r="B42" i="18"/>
  <c r="M41" i="18"/>
  <c r="L41" i="18"/>
  <c r="K41" i="18"/>
  <c r="J41" i="18"/>
  <c r="I41" i="18"/>
  <c r="H41" i="18"/>
  <c r="G41" i="18"/>
  <c r="F41" i="18"/>
  <c r="E41" i="18"/>
  <c r="D41" i="18"/>
  <c r="B41" i="18"/>
  <c r="M40" i="18"/>
  <c r="L40" i="18"/>
  <c r="K40" i="18"/>
  <c r="J40" i="18"/>
  <c r="I40" i="18"/>
  <c r="H40" i="18"/>
  <c r="G40" i="18"/>
  <c r="F40" i="18"/>
  <c r="E40" i="18"/>
  <c r="D40" i="18"/>
  <c r="B40" i="18"/>
  <c r="M39" i="18"/>
  <c r="L39" i="18"/>
  <c r="K39" i="18"/>
  <c r="J39" i="18"/>
  <c r="I39" i="18"/>
  <c r="H39" i="18"/>
  <c r="G39" i="18"/>
  <c r="F39" i="18"/>
  <c r="E39" i="18"/>
  <c r="D39" i="18"/>
  <c r="B39" i="18"/>
  <c r="M38" i="18"/>
  <c r="L38" i="18"/>
  <c r="K38" i="18"/>
  <c r="J38" i="18"/>
  <c r="I38" i="18"/>
  <c r="H38" i="18"/>
  <c r="G38" i="18"/>
  <c r="F38" i="18"/>
  <c r="E38" i="18"/>
  <c r="D38" i="18"/>
  <c r="B38" i="18"/>
  <c r="M37" i="18"/>
  <c r="L37" i="18"/>
  <c r="K37" i="18"/>
  <c r="J37" i="18"/>
  <c r="I37" i="18"/>
  <c r="H37" i="18"/>
  <c r="G37" i="18"/>
  <c r="F37" i="18"/>
  <c r="E37" i="18"/>
  <c r="D37" i="18"/>
  <c r="B37" i="18"/>
  <c r="M36" i="18"/>
  <c r="L36" i="18"/>
  <c r="K36" i="18"/>
  <c r="J36" i="18"/>
  <c r="I36" i="18"/>
  <c r="H36" i="18"/>
  <c r="G36" i="18"/>
  <c r="F36" i="18"/>
  <c r="E36" i="18"/>
  <c r="D36" i="18"/>
  <c r="B36" i="18"/>
  <c r="M35" i="18"/>
  <c r="L35" i="18"/>
  <c r="K35" i="18"/>
  <c r="J35" i="18"/>
  <c r="I35" i="18"/>
  <c r="H35" i="18"/>
  <c r="G35" i="18"/>
  <c r="F35" i="18"/>
  <c r="E35" i="18"/>
  <c r="Q35" i="18" s="1"/>
  <c r="D35" i="18"/>
  <c r="B35" i="18"/>
  <c r="M34" i="18"/>
  <c r="L34" i="18"/>
  <c r="K34" i="18"/>
  <c r="J34" i="18"/>
  <c r="I34" i="18"/>
  <c r="H34" i="18"/>
  <c r="G34" i="18"/>
  <c r="F34" i="18"/>
  <c r="E34" i="18"/>
  <c r="Q34" i="18" s="1"/>
  <c r="D34" i="18"/>
  <c r="B34" i="18"/>
  <c r="M33" i="18"/>
  <c r="L33" i="18"/>
  <c r="K33" i="18"/>
  <c r="J33" i="18"/>
  <c r="I33" i="18"/>
  <c r="H33" i="18"/>
  <c r="G33" i="18"/>
  <c r="F33" i="18"/>
  <c r="E33" i="18"/>
  <c r="D33" i="18"/>
  <c r="B33" i="18"/>
  <c r="M32" i="18"/>
  <c r="L32" i="18"/>
  <c r="K32" i="18"/>
  <c r="J32" i="18"/>
  <c r="I32" i="18"/>
  <c r="H32" i="18"/>
  <c r="G32" i="18"/>
  <c r="F32" i="18"/>
  <c r="E32" i="18"/>
  <c r="D32" i="18"/>
  <c r="B32" i="18"/>
  <c r="M31" i="18"/>
  <c r="L31" i="18"/>
  <c r="K31" i="18"/>
  <c r="J31" i="18"/>
  <c r="I31" i="18"/>
  <c r="H31" i="18"/>
  <c r="G31" i="18"/>
  <c r="F31" i="18"/>
  <c r="E31" i="18"/>
  <c r="D31" i="18"/>
  <c r="B31" i="18"/>
  <c r="M30" i="18"/>
  <c r="L30" i="18"/>
  <c r="K30" i="18"/>
  <c r="J30" i="18"/>
  <c r="I30" i="18"/>
  <c r="H30" i="18"/>
  <c r="G30" i="18"/>
  <c r="F30" i="18"/>
  <c r="E30" i="18"/>
  <c r="D30" i="18"/>
  <c r="B30" i="18"/>
  <c r="M29" i="18"/>
  <c r="L29" i="18"/>
  <c r="K29" i="18"/>
  <c r="J29" i="18"/>
  <c r="I29" i="18"/>
  <c r="H29" i="18"/>
  <c r="G29" i="18"/>
  <c r="F29" i="18"/>
  <c r="E29" i="18"/>
  <c r="D29" i="18"/>
  <c r="B29" i="18"/>
  <c r="M28" i="18"/>
  <c r="L28" i="18"/>
  <c r="K28" i="18"/>
  <c r="J28" i="18"/>
  <c r="I28" i="18"/>
  <c r="H28" i="18"/>
  <c r="G28" i="18"/>
  <c r="F28" i="18"/>
  <c r="E28" i="18"/>
  <c r="D28" i="18"/>
  <c r="B28" i="18"/>
  <c r="M27" i="18"/>
  <c r="L27" i="18"/>
  <c r="K27" i="18"/>
  <c r="J27" i="18"/>
  <c r="I27" i="18"/>
  <c r="H27" i="18"/>
  <c r="G27" i="18"/>
  <c r="F27" i="18"/>
  <c r="E27" i="18"/>
  <c r="D27" i="18"/>
  <c r="B27" i="18"/>
  <c r="M26" i="18"/>
  <c r="L26" i="18"/>
  <c r="K26" i="18"/>
  <c r="J26" i="18"/>
  <c r="I26" i="18"/>
  <c r="H26" i="18"/>
  <c r="G26" i="18"/>
  <c r="F26" i="18"/>
  <c r="E26" i="18"/>
  <c r="D26" i="18"/>
  <c r="B26" i="18"/>
  <c r="M25" i="18"/>
  <c r="L25" i="18"/>
  <c r="K25" i="18"/>
  <c r="J25" i="18"/>
  <c r="I25" i="18"/>
  <c r="H25" i="18"/>
  <c r="G25" i="18"/>
  <c r="F25" i="18"/>
  <c r="E25" i="18"/>
  <c r="D25" i="18"/>
  <c r="B25" i="18"/>
  <c r="M24" i="18"/>
  <c r="L24" i="18"/>
  <c r="K24" i="18"/>
  <c r="J24" i="18"/>
  <c r="I24" i="18"/>
  <c r="H24" i="18"/>
  <c r="G24" i="18"/>
  <c r="F24" i="18"/>
  <c r="E24" i="18"/>
  <c r="D24" i="18"/>
  <c r="B24" i="18"/>
  <c r="M23" i="18"/>
  <c r="L23" i="18"/>
  <c r="K23" i="18"/>
  <c r="J23" i="18"/>
  <c r="I23" i="18"/>
  <c r="H23" i="18"/>
  <c r="G23" i="18"/>
  <c r="F23" i="18"/>
  <c r="E23" i="18"/>
  <c r="Q23" i="18" s="1"/>
  <c r="D23" i="18"/>
  <c r="B23" i="18"/>
  <c r="M22" i="18"/>
  <c r="L22" i="18"/>
  <c r="K22" i="18"/>
  <c r="J22" i="18"/>
  <c r="I22" i="18"/>
  <c r="H22" i="18"/>
  <c r="G22" i="18"/>
  <c r="F22" i="18"/>
  <c r="E22" i="18"/>
  <c r="Q22" i="18" s="1"/>
  <c r="D22" i="18"/>
  <c r="B22" i="18"/>
  <c r="M21" i="18"/>
  <c r="L21" i="18"/>
  <c r="K21" i="18"/>
  <c r="J21" i="18"/>
  <c r="I21" i="18"/>
  <c r="H21" i="18"/>
  <c r="G21" i="18"/>
  <c r="F21" i="18"/>
  <c r="E21" i="18"/>
  <c r="D21" i="18"/>
  <c r="B21" i="18"/>
  <c r="M20" i="18"/>
  <c r="L20" i="18"/>
  <c r="K20" i="18"/>
  <c r="J20" i="18"/>
  <c r="I20" i="18"/>
  <c r="H20" i="18"/>
  <c r="G20" i="18"/>
  <c r="F20" i="18"/>
  <c r="E20" i="18"/>
  <c r="D20" i="18"/>
  <c r="B20" i="18"/>
  <c r="M19" i="18"/>
  <c r="L19" i="18"/>
  <c r="K19" i="18"/>
  <c r="J19" i="18"/>
  <c r="I19" i="18"/>
  <c r="H19" i="18"/>
  <c r="G19" i="18"/>
  <c r="F19" i="18"/>
  <c r="E19" i="18"/>
  <c r="D19" i="18"/>
  <c r="B19" i="18"/>
  <c r="M18" i="18"/>
  <c r="L18" i="18"/>
  <c r="K18" i="18"/>
  <c r="J18" i="18"/>
  <c r="I18" i="18"/>
  <c r="H18" i="18"/>
  <c r="G18" i="18"/>
  <c r="F18" i="18"/>
  <c r="E18" i="18"/>
  <c r="D18" i="18"/>
  <c r="B18" i="18"/>
  <c r="M17" i="18"/>
  <c r="L17" i="18"/>
  <c r="K17" i="18"/>
  <c r="J17" i="18"/>
  <c r="I17" i="18"/>
  <c r="H17" i="18"/>
  <c r="G17" i="18"/>
  <c r="F17" i="18"/>
  <c r="E17" i="18"/>
  <c r="D17" i="18"/>
  <c r="B17" i="18"/>
  <c r="M16" i="18"/>
  <c r="L16" i="18"/>
  <c r="K16" i="18"/>
  <c r="J16" i="18"/>
  <c r="I16" i="18"/>
  <c r="H16" i="18"/>
  <c r="G16" i="18"/>
  <c r="F16" i="18"/>
  <c r="E16" i="18"/>
  <c r="D16" i="18"/>
  <c r="B16" i="18"/>
  <c r="M15" i="18"/>
  <c r="L15" i="18"/>
  <c r="K15" i="18"/>
  <c r="J15" i="18"/>
  <c r="I15" i="18"/>
  <c r="H15" i="18"/>
  <c r="G15" i="18"/>
  <c r="F15" i="18"/>
  <c r="E15" i="18"/>
  <c r="D15" i="18"/>
  <c r="B15" i="18"/>
  <c r="M14" i="18"/>
  <c r="L14" i="18"/>
  <c r="K14" i="18"/>
  <c r="J14" i="18"/>
  <c r="I14" i="18"/>
  <c r="H14" i="18"/>
  <c r="G14" i="18"/>
  <c r="F14" i="18"/>
  <c r="E14" i="18"/>
  <c r="D14" i="18"/>
  <c r="B14" i="18"/>
  <c r="M13" i="18"/>
  <c r="L13" i="18"/>
  <c r="K13" i="18"/>
  <c r="J13" i="18"/>
  <c r="I13" i="18"/>
  <c r="H13" i="18"/>
  <c r="G13" i="18"/>
  <c r="F13" i="18"/>
  <c r="E13" i="18"/>
  <c r="D13" i="18"/>
  <c r="B13" i="18"/>
  <c r="M12" i="18"/>
  <c r="L12" i="18"/>
  <c r="K12" i="18"/>
  <c r="J12" i="18"/>
  <c r="I12" i="18"/>
  <c r="H12" i="18"/>
  <c r="G12" i="18"/>
  <c r="F12" i="18"/>
  <c r="E12" i="18"/>
  <c r="D12" i="18"/>
  <c r="B12" i="18"/>
  <c r="M11" i="18"/>
  <c r="L11" i="18"/>
  <c r="K11" i="18"/>
  <c r="J11" i="18"/>
  <c r="I11" i="18"/>
  <c r="H11" i="18"/>
  <c r="G11" i="18"/>
  <c r="F11" i="18"/>
  <c r="E11" i="18"/>
  <c r="D11" i="18"/>
  <c r="B11" i="18"/>
  <c r="O10" i="18"/>
  <c r="O142" i="18" s="1"/>
  <c r="N10" i="18"/>
  <c r="K10" i="18"/>
  <c r="K142" i="18" s="1"/>
  <c r="H10" i="18"/>
  <c r="H142" i="18" s="1"/>
  <c r="G10" i="18"/>
  <c r="G142" i="18" s="1"/>
  <c r="F10" i="18"/>
  <c r="F142" i="18" s="1"/>
  <c r="D10" i="18"/>
  <c r="D142" i="18" s="1"/>
  <c r="O8" i="18"/>
  <c r="N8" i="18"/>
  <c r="M8" i="18"/>
  <c r="L8" i="18"/>
  <c r="K8" i="18"/>
  <c r="J8" i="18"/>
  <c r="I8" i="18"/>
  <c r="H8" i="18"/>
  <c r="G8" i="18"/>
  <c r="F8" i="18"/>
  <c r="E8" i="18"/>
  <c r="D8" i="18"/>
  <c r="Q223" i="15"/>
  <c r="M218" i="15"/>
  <c r="L218" i="15"/>
  <c r="K218" i="15"/>
  <c r="J218" i="15"/>
  <c r="I218" i="15"/>
  <c r="H218" i="15"/>
  <c r="G218" i="15"/>
  <c r="F218" i="15"/>
  <c r="E218" i="15"/>
  <c r="D218" i="15"/>
  <c r="Q218" i="15" s="1"/>
  <c r="Q216" i="15"/>
  <c r="B216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B215" i="15"/>
  <c r="Q214" i="15"/>
  <c r="B214" i="15"/>
  <c r="Q213" i="15"/>
  <c r="B213" i="15"/>
  <c r="Q212" i="15"/>
  <c r="B212" i="15"/>
  <c r="O211" i="15"/>
  <c r="N211" i="15"/>
  <c r="M211" i="15"/>
  <c r="L211" i="15"/>
  <c r="K211" i="15"/>
  <c r="J211" i="15"/>
  <c r="I211" i="15"/>
  <c r="H211" i="15"/>
  <c r="G211" i="15"/>
  <c r="F211" i="15"/>
  <c r="E211" i="15"/>
  <c r="D211" i="15"/>
  <c r="B211" i="15"/>
  <c r="Q210" i="15"/>
  <c r="B210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B209" i="15"/>
  <c r="Q208" i="15"/>
  <c r="B208" i="15"/>
  <c r="Q207" i="15"/>
  <c r="B207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Q206" i="15" s="1"/>
  <c r="B206" i="15"/>
  <c r="Q205" i="15"/>
  <c r="B205" i="15"/>
  <c r="Q204" i="15"/>
  <c r="B204" i="15"/>
  <c r="Q203" i="15"/>
  <c r="B203" i="15"/>
  <c r="Q202" i="15"/>
  <c r="B202" i="15"/>
  <c r="Q201" i="15"/>
  <c r="B201" i="15"/>
  <c r="Q200" i="15"/>
  <c r="B200" i="15"/>
  <c r="Q199" i="15"/>
  <c r="B199" i="15"/>
  <c r="Q198" i="15"/>
  <c r="B198" i="15"/>
  <c r="Q197" i="15"/>
  <c r="B197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Q196" i="15" s="1"/>
  <c r="B196" i="15"/>
  <c r="Q195" i="15"/>
  <c r="B195" i="15"/>
  <c r="Q194" i="15"/>
  <c r="B194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B193" i="15"/>
  <c r="Q192" i="15"/>
  <c r="B192" i="15"/>
  <c r="Q191" i="15"/>
  <c r="B191" i="15"/>
  <c r="Q190" i="15"/>
  <c r="B190" i="15"/>
  <c r="Q189" i="15"/>
  <c r="B189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B188" i="15"/>
  <c r="Q187" i="15"/>
  <c r="B187" i="15"/>
  <c r="Q186" i="15"/>
  <c r="B186" i="15"/>
  <c r="Q185" i="15"/>
  <c r="B185" i="15"/>
  <c r="Q184" i="15"/>
  <c r="B184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Q183" i="15" s="1"/>
  <c r="B183" i="15"/>
  <c r="Q182" i="15"/>
  <c r="B182" i="15"/>
  <c r="Q181" i="15"/>
  <c r="B181" i="15"/>
  <c r="Q180" i="15"/>
  <c r="B180" i="15"/>
  <c r="Q179" i="15"/>
  <c r="B179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B178" i="15"/>
  <c r="Q177" i="15"/>
  <c r="B177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B176" i="15"/>
  <c r="Q175" i="15"/>
  <c r="B175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B174" i="15"/>
  <c r="Q173" i="15"/>
  <c r="B173" i="15"/>
  <c r="Q172" i="15"/>
  <c r="B172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Q171" i="15" s="1"/>
  <c r="B171" i="15"/>
  <c r="Q170" i="15"/>
  <c r="B170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B169" i="15"/>
  <c r="Q168" i="15"/>
  <c r="B168" i="15"/>
  <c r="Q167" i="15"/>
  <c r="B167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166" i="15"/>
  <c r="Q165" i="15"/>
  <c r="B165" i="15"/>
  <c r="Q164" i="15"/>
  <c r="B164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Q163" i="15" s="1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161" i="15"/>
  <c r="Q160" i="15"/>
  <c r="B160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Q159" i="15" s="1"/>
  <c r="B159" i="15"/>
  <c r="Q158" i="15"/>
  <c r="B158" i="15"/>
  <c r="O157" i="15"/>
  <c r="N157" i="15"/>
  <c r="M157" i="15"/>
  <c r="L157" i="15"/>
  <c r="K157" i="15"/>
  <c r="J157" i="15"/>
  <c r="I157" i="15"/>
  <c r="H157" i="15"/>
  <c r="G157" i="15"/>
  <c r="G121" i="15" s="1"/>
  <c r="F157" i="15"/>
  <c r="E157" i="15"/>
  <c r="D157" i="15"/>
  <c r="Q157" i="15" s="1"/>
  <c r="B157" i="15"/>
  <c r="Q156" i="15"/>
  <c r="B156" i="15"/>
  <c r="Q155" i="15"/>
  <c r="B155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Q154" i="15" s="1"/>
  <c r="B154" i="15"/>
  <c r="Q153" i="15"/>
  <c r="B153" i="15"/>
  <c r="Q152" i="15"/>
  <c r="B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Q151" i="15" s="1"/>
  <c r="B151" i="15"/>
  <c r="Q150" i="15"/>
  <c r="B150" i="15"/>
  <c r="O149" i="15"/>
  <c r="N149" i="15"/>
  <c r="M149" i="15"/>
  <c r="L149" i="15"/>
  <c r="L121" i="15" s="1"/>
  <c r="K149" i="15"/>
  <c r="J149" i="15"/>
  <c r="I149" i="15"/>
  <c r="H149" i="15"/>
  <c r="G149" i="15"/>
  <c r="F149" i="15"/>
  <c r="E149" i="15"/>
  <c r="D149" i="15"/>
  <c r="B149" i="15"/>
  <c r="Q148" i="15"/>
  <c r="B148" i="15"/>
  <c r="Q147" i="15"/>
  <c r="B147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146" i="15"/>
  <c r="Q145" i="15"/>
  <c r="B145" i="15"/>
  <c r="O144" i="15"/>
  <c r="N144" i="15"/>
  <c r="N121" i="15" s="1"/>
  <c r="M144" i="15"/>
  <c r="L144" i="15"/>
  <c r="K144" i="15"/>
  <c r="J144" i="15"/>
  <c r="I144" i="15"/>
  <c r="H144" i="15"/>
  <c r="G144" i="15"/>
  <c r="F144" i="15"/>
  <c r="E144" i="15"/>
  <c r="D144" i="15"/>
  <c r="Q144" i="15" s="1"/>
  <c r="B144" i="15"/>
  <c r="Q143" i="15"/>
  <c r="B143" i="15"/>
  <c r="Q142" i="15"/>
  <c r="B142" i="15"/>
  <c r="Q141" i="15"/>
  <c r="B141" i="15"/>
  <c r="Q140" i="15"/>
  <c r="B140" i="15"/>
  <c r="Q139" i="15"/>
  <c r="B139" i="15"/>
  <c r="Q138" i="15"/>
  <c r="B138" i="15"/>
  <c r="Q137" i="15"/>
  <c r="B137" i="15"/>
  <c r="Q136" i="15"/>
  <c r="B136" i="15"/>
  <c r="Q135" i="15"/>
  <c r="B135" i="15"/>
  <c r="Q134" i="15"/>
  <c r="B134" i="15"/>
  <c r="O133" i="15"/>
  <c r="N133" i="15"/>
  <c r="M133" i="15"/>
  <c r="L133" i="15"/>
  <c r="K133" i="15"/>
  <c r="J133" i="15"/>
  <c r="I133" i="15"/>
  <c r="H133" i="15"/>
  <c r="H121" i="15" s="1"/>
  <c r="G133" i="15"/>
  <c r="F133" i="15"/>
  <c r="E133" i="15"/>
  <c r="D133" i="15"/>
  <c r="B133" i="15"/>
  <c r="Q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J121" i="15" s="1"/>
  <c r="I122" i="15"/>
  <c r="H122" i="15"/>
  <c r="G122" i="15"/>
  <c r="F122" i="15"/>
  <c r="E122" i="15"/>
  <c r="E121" i="15" s="1"/>
  <c r="D122" i="15"/>
  <c r="B122" i="15"/>
  <c r="N118" i="15"/>
  <c r="J118" i="15"/>
  <c r="I118" i="15"/>
  <c r="Q116" i="15"/>
  <c r="B116" i="15"/>
  <c r="Q115" i="15"/>
  <c r="B115" i="15"/>
  <c r="Q114" i="15"/>
  <c r="B114" i="15"/>
  <c r="Q113" i="15"/>
  <c r="B113" i="15"/>
  <c r="Q112" i="15"/>
  <c r="B112" i="15"/>
  <c r="Q111" i="15"/>
  <c r="B111" i="15"/>
  <c r="Q110" i="15"/>
  <c r="B110" i="15"/>
  <c r="Q109" i="15"/>
  <c r="B109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M75" i="15"/>
  <c r="L75" i="15"/>
  <c r="K75" i="15"/>
  <c r="J75" i="15"/>
  <c r="I75" i="15"/>
  <c r="H75" i="15"/>
  <c r="G75" i="15"/>
  <c r="F75" i="15"/>
  <c r="E75" i="15"/>
  <c r="D75" i="15"/>
  <c r="Q75" i="15" s="1"/>
  <c r="B75" i="15"/>
  <c r="M74" i="15"/>
  <c r="L74" i="15"/>
  <c r="K74" i="15"/>
  <c r="J74" i="15"/>
  <c r="I74" i="15"/>
  <c r="H74" i="15"/>
  <c r="G74" i="15"/>
  <c r="F74" i="15"/>
  <c r="E74" i="15"/>
  <c r="D74" i="15"/>
  <c r="Q74" i="15" s="1"/>
  <c r="B74" i="15"/>
  <c r="M73" i="15"/>
  <c r="L73" i="15"/>
  <c r="K73" i="15"/>
  <c r="J73" i="15"/>
  <c r="I73" i="15"/>
  <c r="H73" i="15"/>
  <c r="G73" i="15"/>
  <c r="F73" i="15"/>
  <c r="E73" i="15"/>
  <c r="D73" i="15"/>
  <c r="Q73" i="15" s="1"/>
  <c r="B73" i="15"/>
  <c r="M72" i="15"/>
  <c r="L72" i="15"/>
  <c r="K72" i="15"/>
  <c r="J72" i="15"/>
  <c r="I72" i="15"/>
  <c r="H72" i="15"/>
  <c r="G72" i="15"/>
  <c r="F72" i="15"/>
  <c r="E72" i="15"/>
  <c r="D72" i="15"/>
  <c r="Q72" i="15" s="1"/>
  <c r="B72" i="15"/>
  <c r="M71" i="15"/>
  <c r="L71" i="15"/>
  <c r="K71" i="15"/>
  <c r="J71" i="15"/>
  <c r="I71" i="15"/>
  <c r="H71" i="15"/>
  <c r="G71" i="15"/>
  <c r="F71" i="15"/>
  <c r="E71" i="15"/>
  <c r="D71" i="15"/>
  <c r="Q71" i="15" s="1"/>
  <c r="B71" i="15"/>
  <c r="M70" i="15"/>
  <c r="L70" i="15"/>
  <c r="K70" i="15"/>
  <c r="J70" i="15"/>
  <c r="I70" i="15"/>
  <c r="H70" i="15"/>
  <c r="G70" i="15"/>
  <c r="F70" i="15"/>
  <c r="E70" i="15"/>
  <c r="D70" i="15"/>
  <c r="Q70" i="15" s="1"/>
  <c r="B70" i="15"/>
  <c r="M69" i="15"/>
  <c r="L69" i="15"/>
  <c r="K69" i="15"/>
  <c r="J69" i="15"/>
  <c r="I69" i="15"/>
  <c r="H69" i="15"/>
  <c r="G69" i="15"/>
  <c r="F69" i="15"/>
  <c r="E69" i="15"/>
  <c r="D69" i="15"/>
  <c r="Q69" i="15" s="1"/>
  <c r="B69" i="15"/>
  <c r="M68" i="15"/>
  <c r="L68" i="15"/>
  <c r="K68" i="15"/>
  <c r="J68" i="15"/>
  <c r="I68" i="15"/>
  <c r="H68" i="15"/>
  <c r="G68" i="15"/>
  <c r="F68" i="15"/>
  <c r="E68" i="15"/>
  <c r="D68" i="15"/>
  <c r="Q68" i="15" s="1"/>
  <c r="B68" i="15"/>
  <c r="M67" i="15"/>
  <c r="L67" i="15"/>
  <c r="K67" i="15"/>
  <c r="J67" i="15"/>
  <c r="I67" i="15"/>
  <c r="H67" i="15"/>
  <c r="G67" i="15"/>
  <c r="F67" i="15"/>
  <c r="E67" i="15"/>
  <c r="D67" i="15"/>
  <c r="Q67" i="15" s="1"/>
  <c r="B67" i="15"/>
  <c r="M66" i="15"/>
  <c r="L66" i="15"/>
  <c r="K66" i="15"/>
  <c r="J66" i="15"/>
  <c r="I66" i="15"/>
  <c r="H66" i="15"/>
  <c r="G66" i="15"/>
  <c r="F66" i="15"/>
  <c r="E66" i="15"/>
  <c r="D66" i="15"/>
  <c r="Q66" i="15" s="1"/>
  <c r="B66" i="15"/>
  <c r="M65" i="15"/>
  <c r="L65" i="15"/>
  <c r="K65" i="15"/>
  <c r="J65" i="15"/>
  <c r="I65" i="15"/>
  <c r="H65" i="15"/>
  <c r="G65" i="15"/>
  <c r="F65" i="15"/>
  <c r="E65" i="15"/>
  <c r="D65" i="15"/>
  <c r="Q65" i="15" s="1"/>
  <c r="B65" i="15"/>
  <c r="M64" i="15"/>
  <c r="L64" i="15"/>
  <c r="K64" i="15"/>
  <c r="J64" i="15"/>
  <c r="I64" i="15"/>
  <c r="H64" i="15"/>
  <c r="G64" i="15"/>
  <c r="F64" i="15"/>
  <c r="E64" i="15"/>
  <c r="D64" i="15"/>
  <c r="Q64" i="15" s="1"/>
  <c r="B64" i="15"/>
  <c r="M63" i="15"/>
  <c r="L63" i="15"/>
  <c r="K63" i="15"/>
  <c r="J63" i="15"/>
  <c r="I63" i="15"/>
  <c r="H63" i="15"/>
  <c r="G63" i="15"/>
  <c r="F63" i="15"/>
  <c r="E63" i="15"/>
  <c r="D63" i="15"/>
  <c r="Q63" i="15" s="1"/>
  <c r="B63" i="15"/>
  <c r="M62" i="15"/>
  <c r="L62" i="15"/>
  <c r="K62" i="15"/>
  <c r="J62" i="15"/>
  <c r="I62" i="15"/>
  <c r="H62" i="15"/>
  <c r="G62" i="15"/>
  <c r="F62" i="15"/>
  <c r="E62" i="15"/>
  <c r="D62" i="15"/>
  <c r="Q62" i="15" s="1"/>
  <c r="B62" i="15"/>
  <c r="M61" i="15"/>
  <c r="L61" i="15"/>
  <c r="K61" i="15"/>
  <c r="J61" i="15"/>
  <c r="I61" i="15"/>
  <c r="H61" i="15"/>
  <c r="G61" i="15"/>
  <c r="F61" i="15"/>
  <c r="E61" i="15"/>
  <c r="D61" i="15"/>
  <c r="Q61" i="15" s="1"/>
  <c r="B61" i="15"/>
  <c r="M60" i="15"/>
  <c r="L60" i="15"/>
  <c r="K60" i="15"/>
  <c r="J60" i="15"/>
  <c r="I60" i="15"/>
  <c r="H60" i="15"/>
  <c r="G60" i="15"/>
  <c r="F60" i="15"/>
  <c r="E60" i="15"/>
  <c r="D60" i="15"/>
  <c r="Q60" i="15" s="1"/>
  <c r="B60" i="15"/>
  <c r="M59" i="15"/>
  <c r="L59" i="15"/>
  <c r="K59" i="15"/>
  <c r="J59" i="15"/>
  <c r="I59" i="15"/>
  <c r="H59" i="15"/>
  <c r="G59" i="15"/>
  <c r="F59" i="15"/>
  <c r="E59" i="15"/>
  <c r="D59" i="15"/>
  <c r="Q59" i="15" s="1"/>
  <c r="B59" i="15"/>
  <c r="M58" i="15"/>
  <c r="L58" i="15"/>
  <c r="K58" i="15"/>
  <c r="J58" i="15"/>
  <c r="I58" i="15"/>
  <c r="H58" i="15"/>
  <c r="G58" i="15"/>
  <c r="F58" i="15"/>
  <c r="E58" i="15"/>
  <c r="D58" i="15"/>
  <c r="Q58" i="15" s="1"/>
  <c r="B58" i="15"/>
  <c r="M57" i="15"/>
  <c r="L57" i="15"/>
  <c r="K57" i="15"/>
  <c r="J57" i="15"/>
  <c r="I57" i="15"/>
  <c r="H57" i="15"/>
  <c r="G57" i="15"/>
  <c r="F57" i="15"/>
  <c r="E57" i="15"/>
  <c r="D57" i="15"/>
  <c r="Q57" i="15" s="1"/>
  <c r="B57" i="15"/>
  <c r="M56" i="15"/>
  <c r="L56" i="15"/>
  <c r="K56" i="15"/>
  <c r="J56" i="15"/>
  <c r="I56" i="15"/>
  <c r="H56" i="15"/>
  <c r="G56" i="15"/>
  <c r="F56" i="15"/>
  <c r="E56" i="15"/>
  <c r="D56" i="15"/>
  <c r="Q56" i="15" s="1"/>
  <c r="B56" i="15"/>
  <c r="M55" i="15"/>
  <c r="L55" i="15"/>
  <c r="K55" i="15"/>
  <c r="J55" i="15"/>
  <c r="I55" i="15"/>
  <c r="H55" i="15"/>
  <c r="G55" i="15"/>
  <c r="F55" i="15"/>
  <c r="E55" i="15"/>
  <c r="D55" i="15"/>
  <c r="Q55" i="15" s="1"/>
  <c r="B55" i="15"/>
  <c r="M54" i="15"/>
  <c r="L54" i="15"/>
  <c r="K54" i="15"/>
  <c r="J54" i="15"/>
  <c r="I54" i="15"/>
  <c r="H54" i="15"/>
  <c r="G54" i="15"/>
  <c r="F54" i="15"/>
  <c r="E54" i="15"/>
  <c r="D54" i="15"/>
  <c r="Q54" i="15" s="1"/>
  <c r="B54" i="15"/>
  <c r="M53" i="15"/>
  <c r="L53" i="15"/>
  <c r="K53" i="15"/>
  <c r="J53" i="15"/>
  <c r="I53" i="15"/>
  <c r="H53" i="15"/>
  <c r="G53" i="15"/>
  <c r="F53" i="15"/>
  <c r="E53" i="15"/>
  <c r="D53" i="15"/>
  <c r="Q53" i="15" s="1"/>
  <c r="B53" i="15"/>
  <c r="M52" i="15"/>
  <c r="L52" i="15"/>
  <c r="K52" i="15"/>
  <c r="J52" i="15"/>
  <c r="I52" i="15"/>
  <c r="H52" i="15"/>
  <c r="G52" i="15"/>
  <c r="F52" i="15"/>
  <c r="E52" i="15"/>
  <c r="D52" i="15"/>
  <c r="Q52" i="15" s="1"/>
  <c r="B52" i="15"/>
  <c r="M51" i="15"/>
  <c r="L51" i="15"/>
  <c r="K51" i="15"/>
  <c r="J51" i="15"/>
  <c r="I51" i="15"/>
  <c r="H51" i="15"/>
  <c r="G51" i="15"/>
  <c r="F51" i="15"/>
  <c r="E51" i="15"/>
  <c r="D51" i="15"/>
  <c r="Q51" i="15" s="1"/>
  <c r="B51" i="15"/>
  <c r="M50" i="15"/>
  <c r="L50" i="15"/>
  <c r="K50" i="15"/>
  <c r="J50" i="15"/>
  <c r="I50" i="15"/>
  <c r="H50" i="15"/>
  <c r="G50" i="15"/>
  <c r="F50" i="15"/>
  <c r="E50" i="15"/>
  <c r="D50" i="15"/>
  <c r="Q50" i="15" s="1"/>
  <c r="B50" i="15"/>
  <c r="M49" i="15"/>
  <c r="L49" i="15"/>
  <c r="K49" i="15"/>
  <c r="J49" i="15"/>
  <c r="I49" i="15"/>
  <c r="H49" i="15"/>
  <c r="G49" i="15"/>
  <c r="F49" i="15"/>
  <c r="E49" i="15"/>
  <c r="D49" i="15"/>
  <c r="Q49" i="15" s="1"/>
  <c r="B49" i="15"/>
  <c r="M48" i="15"/>
  <c r="L48" i="15"/>
  <c r="K48" i="15"/>
  <c r="J48" i="15"/>
  <c r="I48" i="15"/>
  <c r="H48" i="15"/>
  <c r="G48" i="15"/>
  <c r="F48" i="15"/>
  <c r="E48" i="15"/>
  <c r="D48" i="15"/>
  <c r="Q48" i="15" s="1"/>
  <c r="B48" i="15"/>
  <c r="M47" i="15"/>
  <c r="L47" i="15"/>
  <c r="K47" i="15"/>
  <c r="J47" i="15"/>
  <c r="I47" i="15"/>
  <c r="H47" i="15"/>
  <c r="G47" i="15"/>
  <c r="F47" i="15"/>
  <c r="E47" i="15"/>
  <c r="D47" i="15"/>
  <c r="Q47" i="15" s="1"/>
  <c r="B47" i="15"/>
  <c r="M46" i="15"/>
  <c r="L46" i="15"/>
  <c r="K46" i="15"/>
  <c r="J46" i="15"/>
  <c r="I46" i="15"/>
  <c r="H46" i="15"/>
  <c r="G46" i="15"/>
  <c r="F46" i="15"/>
  <c r="E46" i="15"/>
  <c r="D46" i="15"/>
  <c r="Q46" i="15" s="1"/>
  <c r="B46" i="15"/>
  <c r="M45" i="15"/>
  <c r="L45" i="15"/>
  <c r="K45" i="15"/>
  <c r="J45" i="15"/>
  <c r="I45" i="15"/>
  <c r="H45" i="15"/>
  <c r="G45" i="15"/>
  <c r="F45" i="15"/>
  <c r="E45" i="15"/>
  <c r="D45" i="15"/>
  <c r="Q45" i="15" s="1"/>
  <c r="B45" i="15"/>
  <c r="M44" i="15"/>
  <c r="L44" i="15"/>
  <c r="K44" i="15"/>
  <c r="J44" i="15"/>
  <c r="I44" i="15"/>
  <c r="H44" i="15"/>
  <c r="G44" i="15"/>
  <c r="F44" i="15"/>
  <c r="E44" i="15"/>
  <c r="D44" i="15"/>
  <c r="Q44" i="15" s="1"/>
  <c r="B44" i="15"/>
  <c r="M43" i="15"/>
  <c r="L43" i="15"/>
  <c r="K43" i="15"/>
  <c r="J43" i="15"/>
  <c r="I43" i="15"/>
  <c r="H43" i="15"/>
  <c r="G43" i="15"/>
  <c r="F43" i="15"/>
  <c r="E43" i="15"/>
  <c r="D43" i="15"/>
  <c r="Q43" i="15" s="1"/>
  <c r="B43" i="15"/>
  <c r="M42" i="15"/>
  <c r="L42" i="15"/>
  <c r="K42" i="15"/>
  <c r="J42" i="15"/>
  <c r="I42" i="15"/>
  <c r="H42" i="15"/>
  <c r="G42" i="15"/>
  <c r="F42" i="15"/>
  <c r="E42" i="15"/>
  <c r="D42" i="15"/>
  <c r="Q42" i="15" s="1"/>
  <c r="B42" i="15"/>
  <c r="M41" i="15"/>
  <c r="L41" i="15"/>
  <c r="K41" i="15"/>
  <c r="J41" i="15"/>
  <c r="I41" i="15"/>
  <c r="H41" i="15"/>
  <c r="G41" i="15"/>
  <c r="F41" i="15"/>
  <c r="E41" i="15"/>
  <c r="D41" i="15"/>
  <c r="Q41" i="15" s="1"/>
  <c r="B41" i="15"/>
  <c r="M40" i="15"/>
  <c r="L40" i="15"/>
  <c r="K40" i="15"/>
  <c r="J40" i="15"/>
  <c r="I40" i="15"/>
  <c r="H40" i="15"/>
  <c r="G40" i="15"/>
  <c r="F40" i="15"/>
  <c r="E40" i="15"/>
  <c r="D40" i="15"/>
  <c r="Q40" i="15" s="1"/>
  <c r="B40" i="15"/>
  <c r="M39" i="15"/>
  <c r="L39" i="15"/>
  <c r="K39" i="15"/>
  <c r="J39" i="15"/>
  <c r="I39" i="15"/>
  <c r="H39" i="15"/>
  <c r="G39" i="15"/>
  <c r="F39" i="15"/>
  <c r="E39" i="15"/>
  <c r="D39" i="15"/>
  <c r="Q39" i="15" s="1"/>
  <c r="B39" i="15"/>
  <c r="M38" i="15"/>
  <c r="L38" i="15"/>
  <c r="K38" i="15"/>
  <c r="J38" i="15"/>
  <c r="I38" i="15"/>
  <c r="H38" i="15"/>
  <c r="G38" i="15"/>
  <c r="F38" i="15"/>
  <c r="E38" i="15"/>
  <c r="D38" i="15"/>
  <c r="Q38" i="15" s="1"/>
  <c r="B38" i="15"/>
  <c r="M37" i="15"/>
  <c r="L37" i="15"/>
  <c r="K37" i="15"/>
  <c r="J37" i="15"/>
  <c r="I37" i="15"/>
  <c r="H37" i="15"/>
  <c r="G37" i="15"/>
  <c r="F37" i="15"/>
  <c r="E37" i="15"/>
  <c r="D37" i="15"/>
  <c r="Q37" i="15" s="1"/>
  <c r="B37" i="15"/>
  <c r="M36" i="15"/>
  <c r="L36" i="15"/>
  <c r="K36" i="15"/>
  <c r="J36" i="15"/>
  <c r="I36" i="15"/>
  <c r="H36" i="15"/>
  <c r="G36" i="15"/>
  <c r="F36" i="15"/>
  <c r="E36" i="15"/>
  <c r="D36" i="15"/>
  <c r="Q36" i="15" s="1"/>
  <c r="B36" i="15"/>
  <c r="M35" i="15"/>
  <c r="L35" i="15"/>
  <c r="K35" i="15"/>
  <c r="J35" i="15"/>
  <c r="I35" i="15"/>
  <c r="H35" i="15"/>
  <c r="G35" i="15"/>
  <c r="F35" i="15"/>
  <c r="E35" i="15"/>
  <c r="D35" i="15"/>
  <c r="Q35" i="15" s="1"/>
  <c r="B35" i="15"/>
  <c r="M34" i="15"/>
  <c r="L34" i="15"/>
  <c r="K34" i="15"/>
  <c r="J34" i="15"/>
  <c r="I34" i="15"/>
  <c r="H34" i="15"/>
  <c r="G34" i="15"/>
  <c r="F34" i="15"/>
  <c r="E34" i="15"/>
  <c r="D34" i="15"/>
  <c r="Q34" i="15" s="1"/>
  <c r="B34" i="15"/>
  <c r="M33" i="15"/>
  <c r="L33" i="15"/>
  <c r="K33" i="15"/>
  <c r="J33" i="15"/>
  <c r="I33" i="15"/>
  <c r="H33" i="15"/>
  <c r="G33" i="15"/>
  <c r="F33" i="15"/>
  <c r="E33" i="15"/>
  <c r="D33" i="15"/>
  <c r="Q33" i="15" s="1"/>
  <c r="B33" i="15"/>
  <c r="M32" i="15"/>
  <c r="L32" i="15"/>
  <c r="K32" i="15"/>
  <c r="J32" i="15"/>
  <c r="I32" i="15"/>
  <c r="H32" i="15"/>
  <c r="G32" i="15"/>
  <c r="F32" i="15"/>
  <c r="E32" i="15"/>
  <c r="D32" i="15"/>
  <c r="Q32" i="15" s="1"/>
  <c r="B32" i="15"/>
  <c r="M31" i="15"/>
  <c r="L31" i="15"/>
  <c r="K31" i="15"/>
  <c r="J31" i="15"/>
  <c r="I31" i="15"/>
  <c r="H31" i="15"/>
  <c r="G31" i="15"/>
  <c r="F31" i="15"/>
  <c r="E31" i="15"/>
  <c r="D31" i="15"/>
  <c r="Q31" i="15" s="1"/>
  <c r="B31" i="15"/>
  <c r="M30" i="15"/>
  <c r="L30" i="15"/>
  <c r="K30" i="15"/>
  <c r="J30" i="15"/>
  <c r="I30" i="15"/>
  <c r="H30" i="15"/>
  <c r="G30" i="15"/>
  <c r="F30" i="15"/>
  <c r="E30" i="15"/>
  <c r="D30" i="15"/>
  <c r="Q30" i="15" s="1"/>
  <c r="B30" i="15"/>
  <c r="M29" i="15"/>
  <c r="L29" i="15"/>
  <c r="K29" i="15"/>
  <c r="J29" i="15"/>
  <c r="I29" i="15"/>
  <c r="H29" i="15"/>
  <c r="G29" i="15"/>
  <c r="F29" i="15"/>
  <c r="E29" i="15"/>
  <c r="D29" i="15"/>
  <c r="Q29" i="15" s="1"/>
  <c r="B29" i="15"/>
  <c r="M28" i="15"/>
  <c r="L28" i="15"/>
  <c r="K28" i="15"/>
  <c r="J28" i="15"/>
  <c r="I28" i="15"/>
  <c r="H28" i="15"/>
  <c r="G28" i="15"/>
  <c r="F28" i="15"/>
  <c r="E28" i="15"/>
  <c r="D28" i="15"/>
  <c r="Q28" i="15" s="1"/>
  <c r="B28" i="15"/>
  <c r="M27" i="15"/>
  <c r="L27" i="15"/>
  <c r="K27" i="15"/>
  <c r="J27" i="15"/>
  <c r="I27" i="15"/>
  <c r="H27" i="15"/>
  <c r="G27" i="15"/>
  <c r="F27" i="15"/>
  <c r="E27" i="15"/>
  <c r="D27" i="15"/>
  <c r="Q27" i="15" s="1"/>
  <c r="B27" i="15"/>
  <c r="M26" i="15"/>
  <c r="L26" i="15"/>
  <c r="K26" i="15"/>
  <c r="J26" i="15"/>
  <c r="I26" i="15"/>
  <c r="H26" i="15"/>
  <c r="G26" i="15"/>
  <c r="F26" i="15"/>
  <c r="E26" i="15"/>
  <c r="D26" i="15"/>
  <c r="Q26" i="15" s="1"/>
  <c r="B26" i="15"/>
  <c r="M25" i="15"/>
  <c r="L25" i="15"/>
  <c r="K25" i="15"/>
  <c r="J25" i="15"/>
  <c r="I25" i="15"/>
  <c r="H25" i="15"/>
  <c r="G25" i="15"/>
  <c r="F25" i="15"/>
  <c r="E25" i="15"/>
  <c r="D25" i="15"/>
  <c r="Q25" i="15" s="1"/>
  <c r="B25" i="15"/>
  <c r="M24" i="15"/>
  <c r="L24" i="15"/>
  <c r="K24" i="15"/>
  <c r="J24" i="15"/>
  <c r="I24" i="15"/>
  <c r="H24" i="15"/>
  <c r="G24" i="15"/>
  <c r="F24" i="15"/>
  <c r="E24" i="15"/>
  <c r="D24" i="15"/>
  <c r="Q24" i="15" s="1"/>
  <c r="B24" i="15"/>
  <c r="M23" i="15"/>
  <c r="L23" i="15"/>
  <c r="K23" i="15"/>
  <c r="J23" i="15"/>
  <c r="I23" i="15"/>
  <c r="H23" i="15"/>
  <c r="G23" i="15"/>
  <c r="F23" i="15"/>
  <c r="E23" i="15"/>
  <c r="D23" i="15"/>
  <c r="Q23" i="15" s="1"/>
  <c r="B23" i="15"/>
  <c r="M22" i="15"/>
  <c r="L22" i="15"/>
  <c r="K22" i="15"/>
  <c r="J22" i="15"/>
  <c r="I22" i="15"/>
  <c r="H22" i="15"/>
  <c r="G22" i="15"/>
  <c r="F22" i="15"/>
  <c r="E22" i="15"/>
  <c r="D22" i="15"/>
  <c r="Q22" i="15" s="1"/>
  <c r="B22" i="15"/>
  <c r="M21" i="15"/>
  <c r="L21" i="15"/>
  <c r="K21" i="15"/>
  <c r="J21" i="15"/>
  <c r="I21" i="15"/>
  <c r="H21" i="15"/>
  <c r="G21" i="15"/>
  <c r="F21" i="15"/>
  <c r="E21" i="15"/>
  <c r="D21" i="15"/>
  <c r="Q21" i="15" s="1"/>
  <c r="B21" i="15"/>
  <c r="M20" i="15"/>
  <c r="L20" i="15"/>
  <c r="K20" i="15"/>
  <c r="J20" i="15"/>
  <c r="I20" i="15"/>
  <c r="H20" i="15"/>
  <c r="G20" i="15"/>
  <c r="F20" i="15"/>
  <c r="E20" i="15"/>
  <c r="D20" i="15"/>
  <c r="Q20" i="15" s="1"/>
  <c r="B20" i="15"/>
  <c r="M19" i="15"/>
  <c r="L19" i="15"/>
  <c r="K19" i="15"/>
  <c r="J19" i="15"/>
  <c r="I19" i="15"/>
  <c r="H19" i="15"/>
  <c r="G19" i="15"/>
  <c r="F19" i="15"/>
  <c r="E19" i="15"/>
  <c r="D19" i="15"/>
  <c r="Q19" i="15" s="1"/>
  <c r="B19" i="15"/>
  <c r="M18" i="15"/>
  <c r="L18" i="15"/>
  <c r="K18" i="15"/>
  <c r="J18" i="15"/>
  <c r="I18" i="15"/>
  <c r="H18" i="15"/>
  <c r="G18" i="15"/>
  <c r="F18" i="15"/>
  <c r="E18" i="15"/>
  <c r="D18" i="15"/>
  <c r="Q18" i="15" s="1"/>
  <c r="B18" i="15"/>
  <c r="M17" i="15"/>
  <c r="L17" i="15"/>
  <c r="K17" i="15"/>
  <c r="J17" i="15"/>
  <c r="I17" i="15"/>
  <c r="H17" i="15"/>
  <c r="G17" i="15"/>
  <c r="F17" i="15"/>
  <c r="E17" i="15"/>
  <c r="D17" i="15"/>
  <c r="Q17" i="15" s="1"/>
  <c r="B17" i="15"/>
  <c r="M16" i="15"/>
  <c r="L16" i="15"/>
  <c r="K16" i="15"/>
  <c r="J16" i="15"/>
  <c r="I16" i="15"/>
  <c r="H16" i="15"/>
  <c r="G16" i="15"/>
  <c r="F16" i="15"/>
  <c r="E16" i="15"/>
  <c r="D16" i="15"/>
  <c r="Q16" i="15" s="1"/>
  <c r="B16" i="15"/>
  <c r="M15" i="15"/>
  <c r="L15" i="15"/>
  <c r="K15" i="15"/>
  <c r="J15" i="15"/>
  <c r="I15" i="15"/>
  <c r="H15" i="15"/>
  <c r="G15" i="15"/>
  <c r="F15" i="15"/>
  <c r="E15" i="15"/>
  <c r="D15" i="15"/>
  <c r="Q15" i="15" s="1"/>
  <c r="B15" i="15"/>
  <c r="M14" i="15"/>
  <c r="L14" i="15"/>
  <c r="K14" i="15"/>
  <c r="J14" i="15"/>
  <c r="I14" i="15"/>
  <c r="H14" i="15"/>
  <c r="G14" i="15"/>
  <c r="F14" i="15"/>
  <c r="E14" i="15"/>
  <c r="D14" i="15"/>
  <c r="Q14" i="15" s="1"/>
  <c r="B14" i="15"/>
  <c r="M13" i="15"/>
  <c r="L13" i="15"/>
  <c r="K13" i="15"/>
  <c r="J13" i="15"/>
  <c r="I13" i="15"/>
  <c r="H13" i="15"/>
  <c r="G13" i="15"/>
  <c r="F13" i="15"/>
  <c r="E13" i="15"/>
  <c r="D13" i="15"/>
  <c r="Q13" i="15" s="1"/>
  <c r="B13" i="15"/>
  <c r="M12" i="15"/>
  <c r="L12" i="15"/>
  <c r="K12" i="15"/>
  <c r="J12" i="15"/>
  <c r="I12" i="15"/>
  <c r="H12" i="15"/>
  <c r="G12" i="15"/>
  <c r="F12" i="15"/>
  <c r="E12" i="15"/>
  <c r="D12" i="15"/>
  <c r="Q12" i="15" s="1"/>
  <c r="B12" i="15"/>
  <c r="M11" i="15"/>
  <c r="M10" i="15" s="1"/>
  <c r="M118" i="15" s="1"/>
  <c r="L11" i="15"/>
  <c r="L10" i="15" s="1"/>
  <c r="L118" i="15" s="1"/>
  <c r="K11" i="15"/>
  <c r="J11" i="15"/>
  <c r="I11" i="15"/>
  <c r="H11" i="15"/>
  <c r="H10" i="15" s="1"/>
  <c r="H118" i="15" s="1"/>
  <c r="G11" i="15"/>
  <c r="G10" i="15" s="1"/>
  <c r="G118" i="15" s="1"/>
  <c r="F11" i="15"/>
  <c r="E11" i="15"/>
  <c r="D11" i="15"/>
  <c r="B11" i="15"/>
  <c r="O10" i="15"/>
  <c r="O118" i="15" s="1"/>
  <c r="N10" i="15"/>
  <c r="K10" i="15"/>
  <c r="K118" i="15" s="1"/>
  <c r="J10" i="15"/>
  <c r="I10" i="15"/>
  <c r="F10" i="15"/>
  <c r="F118" i="15" s="1"/>
  <c r="E10" i="15"/>
  <c r="O8" i="15"/>
  <c r="N8" i="15"/>
  <c r="M8" i="15"/>
  <c r="L8" i="15"/>
  <c r="K8" i="15"/>
  <c r="J8" i="15"/>
  <c r="I8" i="15"/>
  <c r="H8" i="15"/>
  <c r="G8" i="15"/>
  <c r="F8" i="15"/>
  <c r="E8" i="15"/>
  <c r="D8" i="15"/>
  <c r="Q229" i="12"/>
  <c r="M224" i="12"/>
  <c r="L224" i="12"/>
  <c r="K224" i="12"/>
  <c r="J224" i="12"/>
  <c r="I224" i="12"/>
  <c r="Q224" i="12" s="1"/>
  <c r="H224" i="12"/>
  <c r="G224" i="12"/>
  <c r="F224" i="12"/>
  <c r="E224" i="12"/>
  <c r="D224" i="12"/>
  <c r="Q222" i="12"/>
  <c r="B222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B221" i="12"/>
  <c r="Q220" i="12"/>
  <c r="B220" i="12"/>
  <c r="Q219" i="12"/>
  <c r="B219" i="12"/>
  <c r="Q218" i="12"/>
  <c r="B218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Q217" i="12" s="1"/>
  <c r="B217" i="12"/>
  <c r="Q216" i="12"/>
  <c r="B216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B215" i="12"/>
  <c r="Q214" i="12"/>
  <c r="B214" i="12"/>
  <c r="Q213" i="12"/>
  <c r="B213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Q212" i="12" s="1"/>
  <c r="B212" i="12"/>
  <c r="Q211" i="12"/>
  <c r="B211" i="12"/>
  <c r="Q210" i="12"/>
  <c r="B210" i="12"/>
  <c r="Q209" i="12"/>
  <c r="B209" i="12"/>
  <c r="Q208" i="12"/>
  <c r="B208" i="12"/>
  <c r="Q207" i="12"/>
  <c r="B207" i="12"/>
  <c r="Q206" i="12"/>
  <c r="B206" i="12"/>
  <c r="Q205" i="12"/>
  <c r="B205" i="12"/>
  <c r="Q204" i="12"/>
  <c r="B204" i="12"/>
  <c r="Q203" i="12"/>
  <c r="B203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Q202" i="12" s="1"/>
  <c r="B202" i="12"/>
  <c r="Q201" i="12"/>
  <c r="B201" i="12"/>
  <c r="Q200" i="12"/>
  <c r="B200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Q199" i="12" s="1"/>
  <c r="B199" i="12"/>
  <c r="Q198" i="12"/>
  <c r="B198" i="12"/>
  <c r="Q197" i="12"/>
  <c r="B197" i="12"/>
  <c r="Q196" i="12"/>
  <c r="B196" i="12"/>
  <c r="Q195" i="12"/>
  <c r="B195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B194" i="12"/>
  <c r="Q193" i="12"/>
  <c r="B193" i="12"/>
  <c r="Q192" i="12"/>
  <c r="B192" i="12"/>
  <c r="Q191" i="12"/>
  <c r="B191" i="12"/>
  <c r="Q190" i="12"/>
  <c r="B190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Q189" i="12" s="1"/>
  <c r="B189" i="12"/>
  <c r="Q188" i="12"/>
  <c r="B188" i="12"/>
  <c r="Q187" i="12"/>
  <c r="B187" i="12"/>
  <c r="Q186" i="12"/>
  <c r="B186" i="12"/>
  <c r="Q185" i="12"/>
  <c r="B185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Q184" i="12" s="1"/>
  <c r="B184" i="12"/>
  <c r="Q183" i="12"/>
  <c r="B183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B182" i="12"/>
  <c r="Q181" i="12"/>
  <c r="B181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B180" i="12"/>
  <c r="Q179" i="12"/>
  <c r="B179" i="12"/>
  <c r="Q178" i="12"/>
  <c r="B178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Q177" i="12" s="1"/>
  <c r="B177" i="12"/>
  <c r="Q176" i="12"/>
  <c r="B176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B175" i="12"/>
  <c r="Q174" i="12"/>
  <c r="B174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B173" i="12"/>
  <c r="Q172" i="12"/>
  <c r="B172" i="12"/>
  <c r="Q171" i="12"/>
  <c r="B171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B170" i="12"/>
  <c r="Q169" i="12"/>
  <c r="B169" i="12"/>
  <c r="Q168" i="12"/>
  <c r="B168" i="12"/>
  <c r="O167" i="12"/>
  <c r="N167" i="12"/>
  <c r="M167" i="12"/>
  <c r="L167" i="12"/>
  <c r="L125" i="12" s="1"/>
  <c r="K167" i="12"/>
  <c r="J167" i="12"/>
  <c r="I167" i="12"/>
  <c r="H167" i="12"/>
  <c r="G167" i="12"/>
  <c r="F167" i="12"/>
  <c r="E167" i="12"/>
  <c r="D167" i="12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Q165" i="12" s="1"/>
  <c r="B165" i="12"/>
  <c r="Q164" i="12"/>
  <c r="B164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B163" i="12"/>
  <c r="Q162" i="12"/>
  <c r="B162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Q161" i="12" s="1"/>
  <c r="B161" i="12"/>
  <c r="Q160" i="12"/>
  <c r="B160" i="12"/>
  <c r="Q159" i="12"/>
  <c r="B159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B158" i="12"/>
  <c r="Q157" i="12"/>
  <c r="B157" i="12"/>
  <c r="Q156" i="12"/>
  <c r="B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Q155" i="12" s="1"/>
  <c r="B155" i="12"/>
  <c r="Q154" i="12"/>
  <c r="B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B153" i="12"/>
  <c r="Q152" i="12"/>
  <c r="B152" i="12"/>
  <c r="Q151" i="12"/>
  <c r="B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B150" i="12"/>
  <c r="Q149" i="12"/>
  <c r="B149" i="12"/>
  <c r="O148" i="12"/>
  <c r="N148" i="12"/>
  <c r="M148" i="12"/>
  <c r="L148" i="12"/>
  <c r="K148" i="12"/>
  <c r="J148" i="12"/>
  <c r="I148" i="12"/>
  <c r="H148" i="12"/>
  <c r="G148" i="12"/>
  <c r="F148" i="12"/>
  <c r="F125" i="12" s="1"/>
  <c r="E148" i="12"/>
  <c r="D148" i="12"/>
  <c r="Q148" i="12" s="1"/>
  <c r="B148" i="12"/>
  <c r="Q147" i="12"/>
  <c r="B147" i="12"/>
  <c r="Q146" i="12"/>
  <c r="B146" i="12"/>
  <c r="Q145" i="12"/>
  <c r="B145" i="12"/>
  <c r="Q144" i="12"/>
  <c r="B144" i="12"/>
  <c r="Q143" i="12"/>
  <c r="B143" i="12"/>
  <c r="Q142" i="12"/>
  <c r="B142" i="12"/>
  <c r="Q141" i="12"/>
  <c r="B141" i="12"/>
  <c r="Q140" i="12"/>
  <c r="B140" i="12"/>
  <c r="Q139" i="12"/>
  <c r="B139" i="12"/>
  <c r="Q138" i="12"/>
  <c r="B138" i="12"/>
  <c r="O137" i="12"/>
  <c r="N137" i="12"/>
  <c r="M137" i="12"/>
  <c r="M125" i="12" s="1"/>
  <c r="L137" i="12"/>
  <c r="K137" i="12"/>
  <c r="J137" i="12"/>
  <c r="I137" i="12"/>
  <c r="H137" i="12"/>
  <c r="G137" i="12"/>
  <c r="F137" i="12"/>
  <c r="E137" i="12"/>
  <c r="D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Q129" i="12"/>
  <c r="B129" i="12"/>
  <c r="Q128" i="12"/>
  <c r="B128" i="12"/>
  <c r="Q127" i="12"/>
  <c r="B127" i="12"/>
  <c r="O126" i="12"/>
  <c r="N126" i="12"/>
  <c r="N125" i="12" s="1"/>
  <c r="M126" i="12"/>
  <c r="L126" i="12"/>
  <c r="K126" i="12"/>
  <c r="J126" i="12"/>
  <c r="J125" i="12" s="1"/>
  <c r="I126" i="12"/>
  <c r="H126" i="12"/>
  <c r="G126" i="12"/>
  <c r="F126" i="12"/>
  <c r="E126" i="12"/>
  <c r="D126" i="12"/>
  <c r="B126" i="12"/>
  <c r="E125" i="12"/>
  <c r="Q120" i="12"/>
  <c r="B120" i="12"/>
  <c r="Q119" i="12"/>
  <c r="B119" i="12"/>
  <c r="Q118" i="12"/>
  <c r="B118" i="12"/>
  <c r="Q117" i="12"/>
  <c r="B117" i="12"/>
  <c r="Q116" i="12"/>
  <c r="B116" i="12"/>
  <c r="Q115" i="12"/>
  <c r="B115" i="12"/>
  <c r="Q114" i="12"/>
  <c r="B114" i="12"/>
  <c r="Q113" i="12"/>
  <c r="B113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B81" i="12"/>
  <c r="Q80" i="12"/>
  <c r="Q79" i="12" s="1"/>
  <c r="B80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M77" i="12"/>
  <c r="L77" i="12"/>
  <c r="K77" i="12"/>
  <c r="J77" i="12"/>
  <c r="I77" i="12"/>
  <c r="H77" i="12"/>
  <c r="G77" i="12"/>
  <c r="F77" i="12"/>
  <c r="E77" i="12"/>
  <c r="D77" i="12"/>
  <c r="Q77" i="12" s="1"/>
  <c r="B77" i="12"/>
  <c r="M76" i="12"/>
  <c r="L76" i="12"/>
  <c r="K76" i="12"/>
  <c r="J76" i="12"/>
  <c r="I76" i="12"/>
  <c r="H76" i="12"/>
  <c r="G76" i="12"/>
  <c r="F76" i="12"/>
  <c r="E76" i="12"/>
  <c r="D76" i="12"/>
  <c r="B76" i="12"/>
  <c r="M75" i="12"/>
  <c r="L75" i="12"/>
  <c r="K75" i="12"/>
  <c r="J75" i="12"/>
  <c r="I75" i="12"/>
  <c r="H75" i="12"/>
  <c r="G75" i="12"/>
  <c r="F75" i="12"/>
  <c r="E75" i="12"/>
  <c r="D75" i="12"/>
  <c r="Q75" i="12" s="1"/>
  <c r="B75" i="12"/>
  <c r="M74" i="12"/>
  <c r="L74" i="12"/>
  <c r="K74" i="12"/>
  <c r="J74" i="12"/>
  <c r="I74" i="12"/>
  <c r="H74" i="12"/>
  <c r="G74" i="12"/>
  <c r="F74" i="12"/>
  <c r="E74" i="12"/>
  <c r="D74" i="12"/>
  <c r="B74" i="12"/>
  <c r="M73" i="12"/>
  <c r="L73" i="12"/>
  <c r="K73" i="12"/>
  <c r="J73" i="12"/>
  <c r="I73" i="12"/>
  <c r="H73" i="12"/>
  <c r="G73" i="12"/>
  <c r="F73" i="12"/>
  <c r="E73" i="12"/>
  <c r="D73" i="12"/>
  <c r="B73" i="12"/>
  <c r="M72" i="12"/>
  <c r="L72" i="12"/>
  <c r="K72" i="12"/>
  <c r="J72" i="12"/>
  <c r="I72" i="12"/>
  <c r="H72" i="12"/>
  <c r="G72" i="12"/>
  <c r="F72" i="12"/>
  <c r="E72" i="12"/>
  <c r="D72" i="12"/>
  <c r="B72" i="12"/>
  <c r="M71" i="12"/>
  <c r="L71" i="12"/>
  <c r="K71" i="12"/>
  <c r="J71" i="12"/>
  <c r="I71" i="12"/>
  <c r="H71" i="12"/>
  <c r="G71" i="12"/>
  <c r="F71" i="12"/>
  <c r="E71" i="12"/>
  <c r="D71" i="12"/>
  <c r="B71" i="12"/>
  <c r="M70" i="12"/>
  <c r="L70" i="12"/>
  <c r="K70" i="12"/>
  <c r="J70" i="12"/>
  <c r="I70" i="12"/>
  <c r="H70" i="12"/>
  <c r="G70" i="12"/>
  <c r="F70" i="12"/>
  <c r="E70" i="12"/>
  <c r="D70" i="12"/>
  <c r="B70" i="12"/>
  <c r="M69" i="12"/>
  <c r="L69" i="12"/>
  <c r="K69" i="12"/>
  <c r="J69" i="12"/>
  <c r="I69" i="12"/>
  <c r="H69" i="12"/>
  <c r="G69" i="12"/>
  <c r="F69" i="12"/>
  <c r="E69" i="12"/>
  <c r="D69" i="12"/>
  <c r="B69" i="12"/>
  <c r="M68" i="12"/>
  <c r="L68" i="12"/>
  <c r="K68" i="12"/>
  <c r="J68" i="12"/>
  <c r="I68" i="12"/>
  <c r="H68" i="12"/>
  <c r="G68" i="12"/>
  <c r="F68" i="12"/>
  <c r="E68" i="12"/>
  <c r="D68" i="12"/>
  <c r="B68" i="12"/>
  <c r="M67" i="12"/>
  <c r="L67" i="12"/>
  <c r="K67" i="12"/>
  <c r="J67" i="12"/>
  <c r="I67" i="12"/>
  <c r="H67" i="12"/>
  <c r="G67" i="12"/>
  <c r="F67" i="12"/>
  <c r="E67" i="12"/>
  <c r="D67" i="12"/>
  <c r="Q67" i="12" s="1"/>
  <c r="B67" i="12"/>
  <c r="M66" i="12"/>
  <c r="L66" i="12"/>
  <c r="K66" i="12"/>
  <c r="J66" i="12"/>
  <c r="I66" i="12"/>
  <c r="H66" i="12"/>
  <c r="G66" i="12"/>
  <c r="F66" i="12"/>
  <c r="E66" i="12"/>
  <c r="D66" i="12"/>
  <c r="B66" i="12"/>
  <c r="M65" i="12"/>
  <c r="L65" i="12"/>
  <c r="K65" i="12"/>
  <c r="J65" i="12"/>
  <c r="I65" i="12"/>
  <c r="H65" i="12"/>
  <c r="G65" i="12"/>
  <c r="F65" i="12"/>
  <c r="E65" i="12"/>
  <c r="D65" i="12"/>
  <c r="Q65" i="12" s="1"/>
  <c r="B65" i="12"/>
  <c r="M64" i="12"/>
  <c r="L64" i="12"/>
  <c r="K64" i="12"/>
  <c r="J64" i="12"/>
  <c r="I64" i="12"/>
  <c r="H64" i="12"/>
  <c r="G64" i="12"/>
  <c r="F64" i="12"/>
  <c r="E64" i="12"/>
  <c r="D64" i="12"/>
  <c r="B64" i="12"/>
  <c r="M63" i="12"/>
  <c r="L63" i="12"/>
  <c r="K63" i="12"/>
  <c r="J63" i="12"/>
  <c r="I63" i="12"/>
  <c r="H63" i="12"/>
  <c r="G63" i="12"/>
  <c r="F63" i="12"/>
  <c r="E63" i="12"/>
  <c r="D63" i="12"/>
  <c r="Q63" i="12" s="1"/>
  <c r="B63" i="12"/>
  <c r="M62" i="12"/>
  <c r="L62" i="12"/>
  <c r="K62" i="12"/>
  <c r="J62" i="12"/>
  <c r="I62" i="12"/>
  <c r="H62" i="12"/>
  <c r="G62" i="12"/>
  <c r="F62" i="12"/>
  <c r="E62" i="12"/>
  <c r="D62" i="12"/>
  <c r="B62" i="12"/>
  <c r="M61" i="12"/>
  <c r="L61" i="12"/>
  <c r="K61" i="12"/>
  <c r="J61" i="12"/>
  <c r="I61" i="12"/>
  <c r="H61" i="12"/>
  <c r="G61" i="12"/>
  <c r="F61" i="12"/>
  <c r="E61" i="12"/>
  <c r="D61" i="12"/>
  <c r="B61" i="12"/>
  <c r="M60" i="12"/>
  <c r="L60" i="12"/>
  <c r="K60" i="12"/>
  <c r="J60" i="12"/>
  <c r="I60" i="12"/>
  <c r="H60" i="12"/>
  <c r="G60" i="12"/>
  <c r="F60" i="12"/>
  <c r="E60" i="12"/>
  <c r="D60" i="12"/>
  <c r="B60" i="12"/>
  <c r="M59" i="12"/>
  <c r="L59" i="12"/>
  <c r="K59" i="12"/>
  <c r="J59" i="12"/>
  <c r="I59" i="12"/>
  <c r="H59" i="12"/>
  <c r="G59" i="12"/>
  <c r="F59" i="12"/>
  <c r="E59" i="12"/>
  <c r="D59" i="12"/>
  <c r="B59" i="12"/>
  <c r="M58" i="12"/>
  <c r="L58" i="12"/>
  <c r="K58" i="12"/>
  <c r="J58" i="12"/>
  <c r="I58" i="12"/>
  <c r="H58" i="12"/>
  <c r="G58" i="12"/>
  <c r="F58" i="12"/>
  <c r="E58" i="12"/>
  <c r="D58" i="12"/>
  <c r="B58" i="12"/>
  <c r="M57" i="12"/>
  <c r="L57" i="12"/>
  <c r="K57" i="12"/>
  <c r="J57" i="12"/>
  <c r="I57" i="12"/>
  <c r="H57" i="12"/>
  <c r="G57" i="12"/>
  <c r="F57" i="12"/>
  <c r="E57" i="12"/>
  <c r="D57" i="12"/>
  <c r="B57" i="12"/>
  <c r="M56" i="12"/>
  <c r="L56" i="12"/>
  <c r="K56" i="12"/>
  <c r="J56" i="12"/>
  <c r="I56" i="12"/>
  <c r="H56" i="12"/>
  <c r="G56" i="12"/>
  <c r="F56" i="12"/>
  <c r="E56" i="12"/>
  <c r="D56" i="12"/>
  <c r="B56" i="12"/>
  <c r="M55" i="12"/>
  <c r="L55" i="12"/>
  <c r="K55" i="12"/>
  <c r="J55" i="12"/>
  <c r="I55" i="12"/>
  <c r="H55" i="12"/>
  <c r="G55" i="12"/>
  <c r="F55" i="12"/>
  <c r="E55" i="12"/>
  <c r="D55" i="12"/>
  <c r="Q55" i="12" s="1"/>
  <c r="B55" i="12"/>
  <c r="M54" i="12"/>
  <c r="L54" i="12"/>
  <c r="K54" i="12"/>
  <c r="J54" i="12"/>
  <c r="I54" i="12"/>
  <c r="H54" i="12"/>
  <c r="G54" i="12"/>
  <c r="F54" i="12"/>
  <c r="E54" i="12"/>
  <c r="D54" i="12"/>
  <c r="B54" i="12"/>
  <c r="M53" i="12"/>
  <c r="L53" i="12"/>
  <c r="K53" i="12"/>
  <c r="J53" i="12"/>
  <c r="I53" i="12"/>
  <c r="H53" i="12"/>
  <c r="G53" i="12"/>
  <c r="F53" i="12"/>
  <c r="E53" i="12"/>
  <c r="D53" i="12"/>
  <c r="Q53" i="12" s="1"/>
  <c r="B53" i="12"/>
  <c r="M52" i="12"/>
  <c r="L52" i="12"/>
  <c r="K52" i="12"/>
  <c r="J52" i="12"/>
  <c r="I52" i="12"/>
  <c r="H52" i="12"/>
  <c r="G52" i="12"/>
  <c r="F52" i="12"/>
  <c r="E52" i="12"/>
  <c r="D52" i="12"/>
  <c r="B52" i="12"/>
  <c r="M51" i="12"/>
  <c r="L51" i="12"/>
  <c r="K51" i="12"/>
  <c r="J51" i="12"/>
  <c r="I51" i="12"/>
  <c r="H51" i="12"/>
  <c r="G51" i="12"/>
  <c r="F51" i="12"/>
  <c r="E51" i="12"/>
  <c r="D51" i="12"/>
  <c r="Q51" i="12" s="1"/>
  <c r="B51" i="12"/>
  <c r="M50" i="12"/>
  <c r="L50" i="12"/>
  <c r="K50" i="12"/>
  <c r="J50" i="12"/>
  <c r="I50" i="12"/>
  <c r="H50" i="12"/>
  <c r="G50" i="12"/>
  <c r="F50" i="12"/>
  <c r="E50" i="12"/>
  <c r="D50" i="12"/>
  <c r="B50" i="12"/>
  <c r="M49" i="12"/>
  <c r="L49" i="12"/>
  <c r="K49" i="12"/>
  <c r="J49" i="12"/>
  <c r="I49" i="12"/>
  <c r="H49" i="12"/>
  <c r="G49" i="12"/>
  <c r="F49" i="12"/>
  <c r="E49" i="12"/>
  <c r="D49" i="12"/>
  <c r="B49" i="12"/>
  <c r="M48" i="12"/>
  <c r="L48" i="12"/>
  <c r="K48" i="12"/>
  <c r="J48" i="12"/>
  <c r="I48" i="12"/>
  <c r="H48" i="12"/>
  <c r="G48" i="12"/>
  <c r="F48" i="12"/>
  <c r="E48" i="12"/>
  <c r="D48" i="12"/>
  <c r="B48" i="12"/>
  <c r="M47" i="12"/>
  <c r="L47" i="12"/>
  <c r="K47" i="12"/>
  <c r="J47" i="12"/>
  <c r="I47" i="12"/>
  <c r="H47" i="12"/>
  <c r="G47" i="12"/>
  <c r="F47" i="12"/>
  <c r="E47" i="12"/>
  <c r="D47" i="12"/>
  <c r="B47" i="12"/>
  <c r="M46" i="12"/>
  <c r="L46" i="12"/>
  <c r="K46" i="12"/>
  <c r="J46" i="12"/>
  <c r="I46" i="12"/>
  <c r="H46" i="12"/>
  <c r="G46" i="12"/>
  <c r="F46" i="12"/>
  <c r="E46" i="12"/>
  <c r="D46" i="12"/>
  <c r="B46" i="12"/>
  <c r="M45" i="12"/>
  <c r="L45" i="12"/>
  <c r="K45" i="12"/>
  <c r="J45" i="12"/>
  <c r="I45" i="12"/>
  <c r="H45" i="12"/>
  <c r="G45" i="12"/>
  <c r="F45" i="12"/>
  <c r="E45" i="12"/>
  <c r="D45" i="12"/>
  <c r="B45" i="12"/>
  <c r="M44" i="12"/>
  <c r="L44" i="12"/>
  <c r="K44" i="12"/>
  <c r="J44" i="12"/>
  <c r="I44" i="12"/>
  <c r="H44" i="12"/>
  <c r="G44" i="12"/>
  <c r="F44" i="12"/>
  <c r="E44" i="12"/>
  <c r="D44" i="12"/>
  <c r="B44" i="12"/>
  <c r="M43" i="12"/>
  <c r="L43" i="12"/>
  <c r="K43" i="12"/>
  <c r="J43" i="12"/>
  <c r="I43" i="12"/>
  <c r="H43" i="12"/>
  <c r="G43" i="12"/>
  <c r="F43" i="12"/>
  <c r="E43" i="12"/>
  <c r="D43" i="12"/>
  <c r="Q43" i="12" s="1"/>
  <c r="B43" i="12"/>
  <c r="M42" i="12"/>
  <c r="L42" i="12"/>
  <c r="K42" i="12"/>
  <c r="J42" i="12"/>
  <c r="I42" i="12"/>
  <c r="H42" i="12"/>
  <c r="G42" i="12"/>
  <c r="F42" i="12"/>
  <c r="E42" i="12"/>
  <c r="D42" i="12"/>
  <c r="B42" i="12"/>
  <c r="M41" i="12"/>
  <c r="L41" i="12"/>
  <c r="K41" i="12"/>
  <c r="J41" i="12"/>
  <c r="I41" i="12"/>
  <c r="H41" i="12"/>
  <c r="G41" i="12"/>
  <c r="F41" i="12"/>
  <c r="E41" i="12"/>
  <c r="D41" i="12"/>
  <c r="Q41" i="12" s="1"/>
  <c r="B41" i="12"/>
  <c r="M40" i="12"/>
  <c r="L40" i="12"/>
  <c r="K40" i="12"/>
  <c r="J40" i="12"/>
  <c r="I40" i="12"/>
  <c r="H40" i="12"/>
  <c r="G40" i="12"/>
  <c r="F40" i="12"/>
  <c r="E40" i="12"/>
  <c r="D40" i="12"/>
  <c r="B40" i="12"/>
  <c r="M39" i="12"/>
  <c r="L39" i="12"/>
  <c r="K39" i="12"/>
  <c r="J39" i="12"/>
  <c r="I39" i="12"/>
  <c r="H39" i="12"/>
  <c r="G39" i="12"/>
  <c r="F39" i="12"/>
  <c r="E39" i="12"/>
  <c r="D39" i="12"/>
  <c r="Q39" i="12" s="1"/>
  <c r="B39" i="12"/>
  <c r="M38" i="12"/>
  <c r="L38" i="12"/>
  <c r="K38" i="12"/>
  <c r="J38" i="12"/>
  <c r="I38" i="12"/>
  <c r="H38" i="12"/>
  <c r="G38" i="12"/>
  <c r="F38" i="12"/>
  <c r="E38" i="12"/>
  <c r="D38" i="12"/>
  <c r="B38" i="12"/>
  <c r="M37" i="12"/>
  <c r="L37" i="12"/>
  <c r="K37" i="12"/>
  <c r="J37" i="12"/>
  <c r="I37" i="12"/>
  <c r="H37" i="12"/>
  <c r="G37" i="12"/>
  <c r="F37" i="12"/>
  <c r="E37" i="12"/>
  <c r="D37" i="12"/>
  <c r="B37" i="12"/>
  <c r="M36" i="12"/>
  <c r="L36" i="12"/>
  <c r="K36" i="12"/>
  <c r="J36" i="12"/>
  <c r="I36" i="12"/>
  <c r="H36" i="12"/>
  <c r="G36" i="12"/>
  <c r="F36" i="12"/>
  <c r="E36" i="12"/>
  <c r="D36" i="12"/>
  <c r="B36" i="12"/>
  <c r="M35" i="12"/>
  <c r="L35" i="12"/>
  <c r="K35" i="12"/>
  <c r="J35" i="12"/>
  <c r="I35" i="12"/>
  <c r="H35" i="12"/>
  <c r="G35" i="12"/>
  <c r="F35" i="12"/>
  <c r="E35" i="12"/>
  <c r="D35" i="12"/>
  <c r="B35" i="12"/>
  <c r="M34" i="12"/>
  <c r="L34" i="12"/>
  <c r="K34" i="12"/>
  <c r="J34" i="12"/>
  <c r="I34" i="12"/>
  <c r="H34" i="12"/>
  <c r="G34" i="12"/>
  <c r="F34" i="12"/>
  <c r="E34" i="12"/>
  <c r="D34" i="12"/>
  <c r="B34" i="12"/>
  <c r="M33" i="12"/>
  <c r="L33" i="12"/>
  <c r="K33" i="12"/>
  <c r="J33" i="12"/>
  <c r="I33" i="12"/>
  <c r="H33" i="12"/>
  <c r="G33" i="12"/>
  <c r="F33" i="12"/>
  <c r="E33" i="12"/>
  <c r="D33" i="12"/>
  <c r="B33" i="12"/>
  <c r="M32" i="12"/>
  <c r="L32" i="12"/>
  <c r="K32" i="12"/>
  <c r="J32" i="12"/>
  <c r="I32" i="12"/>
  <c r="H32" i="12"/>
  <c r="G32" i="12"/>
  <c r="F32" i="12"/>
  <c r="E32" i="12"/>
  <c r="D32" i="12"/>
  <c r="B32" i="12"/>
  <c r="M31" i="12"/>
  <c r="L31" i="12"/>
  <c r="K31" i="12"/>
  <c r="J31" i="12"/>
  <c r="I31" i="12"/>
  <c r="H31" i="12"/>
  <c r="G31" i="12"/>
  <c r="F31" i="12"/>
  <c r="E31" i="12"/>
  <c r="D31" i="12"/>
  <c r="Q31" i="12" s="1"/>
  <c r="B31" i="12"/>
  <c r="M30" i="12"/>
  <c r="L30" i="12"/>
  <c r="K30" i="12"/>
  <c r="J30" i="12"/>
  <c r="I30" i="12"/>
  <c r="H30" i="12"/>
  <c r="G30" i="12"/>
  <c r="F30" i="12"/>
  <c r="E30" i="12"/>
  <c r="D30" i="12"/>
  <c r="B30" i="12"/>
  <c r="M29" i="12"/>
  <c r="L29" i="12"/>
  <c r="K29" i="12"/>
  <c r="J29" i="12"/>
  <c r="I29" i="12"/>
  <c r="H29" i="12"/>
  <c r="G29" i="12"/>
  <c r="F29" i="12"/>
  <c r="E29" i="12"/>
  <c r="D29" i="12"/>
  <c r="Q29" i="12" s="1"/>
  <c r="B29" i="12"/>
  <c r="M28" i="12"/>
  <c r="L28" i="12"/>
  <c r="K28" i="12"/>
  <c r="J28" i="12"/>
  <c r="I28" i="12"/>
  <c r="H28" i="12"/>
  <c r="G28" i="12"/>
  <c r="F28" i="12"/>
  <c r="E28" i="12"/>
  <c r="D28" i="12"/>
  <c r="B28" i="12"/>
  <c r="M27" i="12"/>
  <c r="L27" i="12"/>
  <c r="K27" i="12"/>
  <c r="J27" i="12"/>
  <c r="I27" i="12"/>
  <c r="H27" i="12"/>
  <c r="G27" i="12"/>
  <c r="F27" i="12"/>
  <c r="E27" i="12"/>
  <c r="D27" i="12"/>
  <c r="Q27" i="12" s="1"/>
  <c r="B27" i="12"/>
  <c r="M26" i="12"/>
  <c r="L26" i="12"/>
  <c r="K26" i="12"/>
  <c r="J26" i="12"/>
  <c r="I26" i="12"/>
  <c r="H26" i="12"/>
  <c r="G26" i="12"/>
  <c r="F26" i="12"/>
  <c r="E26" i="12"/>
  <c r="D26" i="12"/>
  <c r="B26" i="12"/>
  <c r="M25" i="12"/>
  <c r="L25" i="12"/>
  <c r="K25" i="12"/>
  <c r="J25" i="12"/>
  <c r="I25" i="12"/>
  <c r="H25" i="12"/>
  <c r="G25" i="12"/>
  <c r="F25" i="12"/>
  <c r="E25" i="12"/>
  <c r="D25" i="12"/>
  <c r="B25" i="12"/>
  <c r="M24" i="12"/>
  <c r="L24" i="12"/>
  <c r="K24" i="12"/>
  <c r="J24" i="12"/>
  <c r="I24" i="12"/>
  <c r="H24" i="12"/>
  <c r="G24" i="12"/>
  <c r="F24" i="12"/>
  <c r="E24" i="12"/>
  <c r="D24" i="12"/>
  <c r="B24" i="12"/>
  <c r="M23" i="12"/>
  <c r="L23" i="12"/>
  <c r="K23" i="12"/>
  <c r="J23" i="12"/>
  <c r="I23" i="12"/>
  <c r="H23" i="12"/>
  <c r="G23" i="12"/>
  <c r="F23" i="12"/>
  <c r="E23" i="12"/>
  <c r="D23" i="12"/>
  <c r="B23" i="12"/>
  <c r="M22" i="12"/>
  <c r="L22" i="12"/>
  <c r="K22" i="12"/>
  <c r="J22" i="12"/>
  <c r="I22" i="12"/>
  <c r="H22" i="12"/>
  <c r="G22" i="12"/>
  <c r="F22" i="12"/>
  <c r="E22" i="12"/>
  <c r="D22" i="12"/>
  <c r="B22" i="12"/>
  <c r="M21" i="12"/>
  <c r="L21" i="12"/>
  <c r="K21" i="12"/>
  <c r="J21" i="12"/>
  <c r="I21" i="12"/>
  <c r="H21" i="12"/>
  <c r="G21" i="12"/>
  <c r="F21" i="12"/>
  <c r="E21" i="12"/>
  <c r="D21" i="12"/>
  <c r="B21" i="12"/>
  <c r="M20" i="12"/>
  <c r="L20" i="12"/>
  <c r="K20" i="12"/>
  <c r="J20" i="12"/>
  <c r="I20" i="12"/>
  <c r="H20" i="12"/>
  <c r="G20" i="12"/>
  <c r="F20" i="12"/>
  <c r="E20" i="12"/>
  <c r="D20" i="12"/>
  <c r="B20" i="12"/>
  <c r="M19" i="12"/>
  <c r="L19" i="12"/>
  <c r="K19" i="12"/>
  <c r="J19" i="12"/>
  <c r="I19" i="12"/>
  <c r="H19" i="12"/>
  <c r="G19" i="12"/>
  <c r="F19" i="12"/>
  <c r="E19" i="12"/>
  <c r="D19" i="12"/>
  <c r="Q19" i="12" s="1"/>
  <c r="B19" i="12"/>
  <c r="M18" i="12"/>
  <c r="L18" i="12"/>
  <c r="K18" i="12"/>
  <c r="J18" i="12"/>
  <c r="I18" i="12"/>
  <c r="H18" i="12"/>
  <c r="G18" i="12"/>
  <c r="F18" i="12"/>
  <c r="E18" i="12"/>
  <c r="D18" i="12"/>
  <c r="B18" i="12"/>
  <c r="M17" i="12"/>
  <c r="L17" i="12"/>
  <c r="K17" i="12"/>
  <c r="J17" i="12"/>
  <c r="I17" i="12"/>
  <c r="H17" i="12"/>
  <c r="G17" i="12"/>
  <c r="F17" i="12"/>
  <c r="E17" i="12"/>
  <c r="D17" i="12"/>
  <c r="Q17" i="12" s="1"/>
  <c r="B17" i="12"/>
  <c r="M16" i="12"/>
  <c r="L16" i="12"/>
  <c r="K16" i="12"/>
  <c r="J16" i="12"/>
  <c r="I16" i="12"/>
  <c r="H16" i="12"/>
  <c r="G16" i="12"/>
  <c r="F16" i="12"/>
  <c r="E16" i="12"/>
  <c r="D16" i="12"/>
  <c r="B16" i="12"/>
  <c r="M15" i="12"/>
  <c r="L15" i="12"/>
  <c r="K15" i="12"/>
  <c r="J15" i="12"/>
  <c r="I15" i="12"/>
  <c r="H15" i="12"/>
  <c r="G15" i="12"/>
  <c r="F15" i="12"/>
  <c r="E15" i="12"/>
  <c r="D15" i="12"/>
  <c r="Q15" i="12" s="1"/>
  <c r="B15" i="12"/>
  <c r="M14" i="12"/>
  <c r="L14" i="12"/>
  <c r="K14" i="12"/>
  <c r="J14" i="12"/>
  <c r="I14" i="12"/>
  <c r="H14" i="12"/>
  <c r="G14" i="12"/>
  <c r="F14" i="12"/>
  <c r="E14" i="12"/>
  <c r="D14" i="12"/>
  <c r="B14" i="12"/>
  <c r="M13" i="12"/>
  <c r="L13" i="12"/>
  <c r="K13" i="12"/>
  <c r="J13" i="12"/>
  <c r="I13" i="12"/>
  <c r="H13" i="12"/>
  <c r="G13" i="12"/>
  <c r="F13" i="12"/>
  <c r="E13" i="12"/>
  <c r="D13" i="12"/>
  <c r="B13" i="12"/>
  <c r="M12" i="12"/>
  <c r="L12" i="12"/>
  <c r="K12" i="12"/>
  <c r="J12" i="12"/>
  <c r="I12" i="12"/>
  <c r="H12" i="12"/>
  <c r="G12" i="12"/>
  <c r="F12" i="12"/>
  <c r="E12" i="12"/>
  <c r="D12" i="12"/>
  <c r="B12" i="12"/>
  <c r="M11" i="12"/>
  <c r="L11" i="12"/>
  <c r="K11" i="12"/>
  <c r="K10" i="12" s="1"/>
  <c r="K122" i="12" s="1"/>
  <c r="K123" i="12" s="1"/>
  <c r="J11" i="12"/>
  <c r="J10" i="12" s="1"/>
  <c r="J122" i="12" s="1"/>
  <c r="I11" i="12"/>
  <c r="H11" i="12"/>
  <c r="G11" i="12"/>
  <c r="F11" i="12"/>
  <c r="E11" i="12"/>
  <c r="D11" i="12"/>
  <c r="B11" i="12"/>
  <c r="O10" i="12"/>
  <c r="O122" i="12" s="1"/>
  <c r="N10" i="12"/>
  <c r="N122" i="12" s="1"/>
  <c r="I10" i="12"/>
  <c r="I122" i="12" s="1"/>
  <c r="H10" i="12"/>
  <c r="H122" i="12" s="1"/>
  <c r="G10" i="12"/>
  <c r="G122" i="12" s="1"/>
  <c r="F10" i="12"/>
  <c r="O8" i="12"/>
  <c r="N8" i="12"/>
  <c r="M8" i="12"/>
  <c r="L8" i="12"/>
  <c r="K8" i="12"/>
  <c r="J8" i="12"/>
  <c r="I8" i="12"/>
  <c r="H8" i="12"/>
  <c r="G8" i="12"/>
  <c r="F8" i="12"/>
  <c r="E8" i="12"/>
  <c r="D8" i="12"/>
  <c r="M92" i="9"/>
  <c r="L92" i="9"/>
  <c r="K92" i="9"/>
  <c r="J92" i="9"/>
  <c r="I92" i="9"/>
  <c r="H92" i="9"/>
  <c r="G92" i="9"/>
  <c r="F92" i="9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G88" i="9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G86" i="9"/>
  <c r="F86" i="9"/>
  <c r="E86" i="9"/>
  <c r="D86" i="9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G83" i="9"/>
  <c r="F83" i="9"/>
  <c r="E83" i="9"/>
  <c r="D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Q78" i="9" s="1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Q60" i="9" s="1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D58" i="9"/>
  <c r="Q58" i="9" s="1"/>
  <c r="B58" i="9"/>
  <c r="Q57" i="9"/>
  <c r="B57" i="9"/>
  <c r="Q56" i="9"/>
  <c r="B56" i="9"/>
  <c r="O55" i="9"/>
  <c r="N55" i="9"/>
  <c r="M55" i="9"/>
  <c r="L55" i="9"/>
  <c r="K55" i="9"/>
  <c r="J55" i="9"/>
  <c r="I55" i="9"/>
  <c r="H55" i="9"/>
  <c r="G55" i="9"/>
  <c r="F55" i="9"/>
  <c r="E55" i="9"/>
  <c r="D55" i="9"/>
  <c r="Q55" i="9" s="1"/>
  <c r="B55" i="9"/>
  <c r="Q54" i="9"/>
  <c r="B54" i="9"/>
  <c r="O53" i="9"/>
  <c r="N53" i="9"/>
  <c r="M53" i="9"/>
  <c r="L53" i="9"/>
  <c r="K53" i="9"/>
  <c r="J53" i="9"/>
  <c r="I53" i="9"/>
  <c r="H53" i="9"/>
  <c r="G53" i="9"/>
  <c r="F53" i="9"/>
  <c r="E53" i="9"/>
  <c r="D53" i="9"/>
  <c r="B53" i="9"/>
  <c r="Q52" i="9"/>
  <c r="B52" i="9"/>
  <c r="O51" i="9"/>
  <c r="N51" i="9"/>
  <c r="M51" i="9"/>
  <c r="L51" i="9"/>
  <c r="K51" i="9"/>
  <c r="J51" i="9"/>
  <c r="I51" i="9"/>
  <c r="H51" i="9"/>
  <c r="G51" i="9"/>
  <c r="F51" i="9"/>
  <c r="E51" i="9"/>
  <c r="D51" i="9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B49" i="9"/>
  <c r="Q48" i="9"/>
  <c r="B48" i="9"/>
  <c r="O47" i="9"/>
  <c r="N47" i="9"/>
  <c r="M47" i="9"/>
  <c r="L47" i="9"/>
  <c r="L17" i="9" s="1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M17" i="9" s="1"/>
  <c r="L41" i="9"/>
  <c r="K41" i="9"/>
  <c r="J41" i="9"/>
  <c r="I41" i="9"/>
  <c r="H41" i="9"/>
  <c r="H17" i="9" s="1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J30" i="9"/>
  <c r="I30" i="9"/>
  <c r="I17" i="9" s="1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H18" i="9"/>
  <c r="G18" i="9"/>
  <c r="F18" i="9"/>
  <c r="E18" i="9"/>
  <c r="D18" i="9"/>
  <c r="B18" i="9"/>
  <c r="F17" i="9"/>
  <c r="L15" i="9"/>
  <c r="G15" i="9"/>
  <c r="O14" i="9"/>
  <c r="N14" i="9"/>
  <c r="N15" i="9" s="1"/>
  <c r="M14" i="9"/>
  <c r="K14" i="9"/>
  <c r="H14" i="9"/>
  <c r="Q12" i="9"/>
  <c r="O12" i="9"/>
  <c r="N12" i="9"/>
  <c r="M12" i="9"/>
  <c r="L12" i="9"/>
  <c r="K12" i="9"/>
  <c r="J12" i="9"/>
  <c r="I12" i="9"/>
  <c r="I14" i="9" s="1"/>
  <c r="I15" i="9" s="1"/>
  <c r="H12" i="9"/>
  <c r="G12" i="9"/>
  <c r="F12" i="9"/>
  <c r="E12" i="9"/>
  <c r="D12" i="9"/>
  <c r="Q10" i="9"/>
  <c r="Q14" i="9" s="1"/>
  <c r="O10" i="9"/>
  <c r="N10" i="9"/>
  <c r="M10" i="9"/>
  <c r="L10" i="9"/>
  <c r="L14" i="9" s="1"/>
  <c r="K10" i="9"/>
  <c r="J10" i="9"/>
  <c r="J14" i="9" s="1"/>
  <c r="J15" i="9" s="1"/>
  <c r="I10" i="9"/>
  <c r="H10" i="9"/>
  <c r="G10" i="9"/>
  <c r="G14" i="9" s="1"/>
  <c r="F10" i="9"/>
  <c r="F14" i="9" s="1"/>
  <c r="E10" i="9"/>
  <c r="E14" i="9" s="1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E28" i="6"/>
  <c r="D28" i="6"/>
  <c r="D21" i="6"/>
  <c r="D22" i="6" s="1"/>
  <c r="M19" i="6"/>
  <c r="L19" i="6"/>
  <c r="K19" i="6"/>
  <c r="J19" i="6"/>
  <c r="I19" i="6"/>
  <c r="H19" i="6"/>
  <c r="G19" i="6"/>
  <c r="F19" i="6"/>
  <c r="E19" i="6"/>
  <c r="D19" i="6"/>
  <c r="Q19" i="6" s="1"/>
  <c r="Q21" i="6" s="1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O14" i="6"/>
  <c r="O15" i="6" s="1"/>
  <c r="F14" i="6"/>
  <c r="F15" i="6" s="1"/>
  <c r="Q12" i="6"/>
  <c r="Q14" i="6" s="1"/>
  <c r="Q15" i="6" s="1"/>
  <c r="O12" i="6"/>
  <c r="N12" i="6"/>
  <c r="M12" i="6"/>
  <c r="L12" i="6"/>
  <c r="K12" i="6"/>
  <c r="K14" i="6" s="1"/>
  <c r="J12" i="6"/>
  <c r="I12" i="6"/>
  <c r="I14" i="6" s="1"/>
  <c r="H12" i="6"/>
  <c r="G12" i="6"/>
  <c r="G14" i="6" s="1"/>
  <c r="G21" i="6" s="1"/>
  <c r="F12" i="6"/>
  <c r="E12" i="6"/>
  <c r="D12" i="6"/>
  <c r="D14" i="6" s="1"/>
  <c r="D15" i="6" s="1"/>
  <c r="Q10" i="6"/>
  <c r="O10" i="6"/>
  <c r="N10" i="6"/>
  <c r="N14" i="6" s="1"/>
  <c r="M10" i="6"/>
  <c r="M14" i="6" s="1"/>
  <c r="L10" i="6"/>
  <c r="L14" i="6" s="1"/>
  <c r="K10" i="6"/>
  <c r="J10" i="6"/>
  <c r="J14" i="6" s="1"/>
  <c r="I10" i="6"/>
  <c r="H10" i="6"/>
  <c r="H14" i="6" s="1"/>
  <c r="G10" i="6"/>
  <c r="F10" i="6"/>
  <c r="E10" i="6"/>
  <c r="E14" i="6" s="1"/>
  <c r="E21" i="6" s="1"/>
  <c r="E25" i="6" s="1"/>
  <c r="D10" i="6"/>
  <c r="O8" i="6"/>
  <c r="N8" i="6"/>
  <c r="M8" i="6"/>
  <c r="L8" i="6"/>
  <c r="K8" i="6"/>
  <c r="J8" i="6"/>
  <c r="I8" i="6"/>
  <c r="H8" i="6"/>
  <c r="G8" i="6"/>
  <c r="F8" i="6"/>
  <c r="E8" i="6"/>
  <c r="D8" i="6"/>
  <c r="O271" i="3"/>
  <c r="N271" i="3"/>
  <c r="M271" i="3"/>
  <c r="L271" i="3"/>
  <c r="K271" i="3"/>
  <c r="J271" i="3"/>
  <c r="I271" i="3"/>
  <c r="H271" i="3"/>
  <c r="G271" i="3"/>
  <c r="F271" i="3"/>
  <c r="E271" i="3"/>
  <c r="D271" i="3"/>
  <c r="Q271" i="3" s="1"/>
  <c r="O270" i="3"/>
  <c r="N270" i="3"/>
  <c r="M270" i="3"/>
  <c r="L270" i="3"/>
  <c r="K270" i="3"/>
  <c r="J270" i="3"/>
  <c r="I270" i="3"/>
  <c r="H270" i="3"/>
  <c r="G270" i="3"/>
  <c r="F270" i="3"/>
  <c r="E270" i="3"/>
  <c r="D270" i="3"/>
  <c r="Q265" i="3"/>
  <c r="M260" i="3"/>
  <c r="L260" i="3"/>
  <c r="K260" i="3"/>
  <c r="J260" i="3"/>
  <c r="I260" i="3"/>
  <c r="H260" i="3"/>
  <c r="G260" i="3"/>
  <c r="F260" i="3"/>
  <c r="E260" i="3"/>
  <c r="D260" i="3"/>
  <c r="Q260" i="3" s="1"/>
  <c r="Q258" i="3"/>
  <c r="B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B257" i="3"/>
  <c r="Q256" i="3"/>
  <c r="B256" i="3"/>
  <c r="Q255" i="3"/>
  <c r="B255" i="3"/>
  <c r="Q254" i="3"/>
  <c r="B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Q253" i="3" s="1"/>
  <c r="B253" i="3"/>
  <c r="Q252" i="3"/>
  <c r="B252" i="3"/>
  <c r="O251" i="3"/>
  <c r="N251" i="3"/>
  <c r="M251" i="3"/>
  <c r="L251" i="3"/>
  <c r="K251" i="3"/>
  <c r="J251" i="3"/>
  <c r="I251" i="3"/>
  <c r="H251" i="3"/>
  <c r="G251" i="3"/>
  <c r="G155" i="3" s="1"/>
  <c r="F251" i="3"/>
  <c r="E251" i="3"/>
  <c r="D251" i="3"/>
  <c r="B251" i="3"/>
  <c r="Q250" i="3"/>
  <c r="B250" i="3"/>
  <c r="Q249" i="3"/>
  <c r="B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Q248" i="3" s="1"/>
  <c r="B248" i="3"/>
  <c r="Q247" i="3"/>
  <c r="B247" i="3"/>
  <c r="Q246" i="3"/>
  <c r="B246" i="3"/>
  <c r="Q245" i="3"/>
  <c r="B245" i="3"/>
  <c r="Q244" i="3"/>
  <c r="B244" i="3"/>
  <c r="Q243" i="3"/>
  <c r="B243" i="3"/>
  <c r="Q242" i="3"/>
  <c r="B242" i="3"/>
  <c r="Q241" i="3"/>
  <c r="B241" i="3"/>
  <c r="Q240" i="3"/>
  <c r="B240" i="3"/>
  <c r="Q239" i="3"/>
  <c r="B239" i="3"/>
  <c r="Q238" i="3"/>
  <c r="B238" i="3"/>
  <c r="Q237" i="3"/>
  <c r="B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B236" i="3"/>
  <c r="Q235" i="3"/>
  <c r="B235" i="3"/>
  <c r="Q234" i="3"/>
  <c r="B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Q233" i="3" s="1"/>
  <c r="B233" i="3"/>
  <c r="Q232" i="3"/>
  <c r="B232" i="3"/>
  <c r="Q231" i="3"/>
  <c r="B231" i="3"/>
  <c r="Q230" i="3"/>
  <c r="B230" i="3"/>
  <c r="Q229" i="3"/>
  <c r="B229" i="3"/>
  <c r="Q228" i="3"/>
  <c r="B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B227" i="3"/>
  <c r="Q226" i="3"/>
  <c r="B226" i="3"/>
  <c r="Q225" i="3"/>
  <c r="B225" i="3"/>
  <c r="Q224" i="3"/>
  <c r="B224" i="3"/>
  <c r="Q223" i="3"/>
  <c r="B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Q222" i="3" s="1"/>
  <c r="B222" i="3"/>
  <c r="Q221" i="3"/>
  <c r="B221" i="3"/>
  <c r="Q220" i="3"/>
  <c r="B220" i="3"/>
  <c r="Q219" i="3"/>
  <c r="B219" i="3"/>
  <c r="Q218" i="3"/>
  <c r="B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B217" i="3"/>
  <c r="Q216" i="3"/>
  <c r="B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Q215" i="3" s="1"/>
  <c r="B215" i="3"/>
  <c r="Q214" i="3"/>
  <c r="B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B213" i="3"/>
  <c r="Q212" i="3"/>
  <c r="B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Q211" i="3" s="1"/>
  <c r="B211" i="3"/>
  <c r="Q210" i="3"/>
  <c r="B210" i="3"/>
  <c r="Q209" i="3"/>
  <c r="B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Q206" i="3" s="1"/>
  <c r="B206" i="3"/>
  <c r="Q205" i="3"/>
  <c r="B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B204" i="3"/>
  <c r="Q203" i="3"/>
  <c r="B203" i="3"/>
  <c r="Q202" i="3"/>
  <c r="B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Q201" i="3" s="1"/>
  <c r="B201" i="3"/>
  <c r="Q200" i="3"/>
  <c r="B200" i="3"/>
  <c r="Q199" i="3"/>
  <c r="B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B198" i="3"/>
  <c r="Q197" i="3"/>
  <c r="B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Q196" i="3" s="1"/>
  <c r="B196" i="3"/>
  <c r="Q195" i="3"/>
  <c r="B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B194" i="3"/>
  <c r="Q193" i="3"/>
  <c r="B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Q192" i="3" s="1"/>
  <c r="B192" i="3"/>
  <c r="Q191" i="3"/>
  <c r="B191" i="3"/>
  <c r="Q190" i="3"/>
  <c r="B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B189" i="3"/>
  <c r="Q188" i="3"/>
  <c r="B188" i="3"/>
  <c r="Q187" i="3"/>
  <c r="B187" i="3"/>
  <c r="Q186" i="3"/>
  <c r="B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Q185" i="3" s="1"/>
  <c r="B185" i="3"/>
  <c r="Q184" i="3"/>
  <c r="B184" i="3"/>
  <c r="O183" i="3"/>
  <c r="N183" i="3"/>
  <c r="N155" i="3" s="1"/>
  <c r="M183" i="3"/>
  <c r="L183" i="3"/>
  <c r="K183" i="3"/>
  <c r="J183" i="3"/>
  <c r="I183" i="3"/>
  <c r="H183" i="3"/>
  <c r="G183" i="3"/>
  <c r="F183" i="3"/>
  <c r="E183" i="3"/>
  <c r="D183" i="3"/>
  <c r="B183" i="3"/>
  <c r="Q182" i="3"/>
  <c r="B182" i="3"/>
  <c r="Q181" i="3"/>
  <c r="B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Q180" i="3" s="1"/>
  <c r="B180" i="3"/>
  <c r="Q179" i="3"/>
  <c r="B179" i="3"/>
  <c r="O178" i="3"/>
  <c r="N178" i="3"/>
  <c r="M178" i="3"/>
  <c r="L178" i="3"/>
  <c r="K178" i="3"/>
  <c r="K155" i="3" s="1"/>
  <c r="J178" i="3"/>
  <c r="I178" i="3"/>
  <c r="I155" i="3" s="1"/>
  <c r="H178" i="3"/>
  <c r="G178" i="3"/>
  <c r="F178" i="3"/>
  <c r="E178" i="3"/>
  <c r="D178" i="3"/>
  <c r="B178" i="3"/>
  <c r="Q177" i="3"/>
  <c r="B177" i="3"/>
  <c r="Q176" i="3"/>
  <c r="B176" i="3"/>
  <c r="Q175" i="3"/>
  <c r="B175" i="3"/>
  <c r="Q174" i="3"/>
  <c r="B174" i="3"/>
  <c r="Q173" i="3"/>
  <c r="B173" i="3"/>
  <c r="Q172" i="3"/>
  <c r="B172" i="3"/>
  <c r="Q171" i="3"/>
  <c r="B171" i="3"/>
  <c r="Q170" i="3"/>
  <c r="B170" i="3"/>
  <c r="Q169" i="3"/>
  <c r="B169" i="3"/>
  <c r="Q168" i="3"/>
  <c r="B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Q167" i="3" s="1"/>
  <c r="B167" i="3"/>
  <c r="Q166" i="3"/>
  <c r="B166" i="3"/>
  <c r="Q165" i="3"/>
  <c r="B165" i="3"/>
  <c r="Q164" i="3"/>
  <c r="B164" i="3"/>
  <c r="Q163" i="3"/>
  <c r="B163" i="3"/>
  <c r="Q162" i="3"/>
  <c r="B162" i="3"/>
  <c r="Q161" i="3"/>
  <c r="B161" i="3"/>
  <c r="Q160" i="3"/>
  <c r="B160" i="3"/>
  <c r="Q159" i="3"/>
  <c r="B159" i="3"/>
  <c r="Q158" i="3"/>
  <c r="B158" i="3"/>
  <c r="Q157" i="3"/>
  <c r="B157" i="3"/>
  <c r="O156" i="3"/>
  <c r="O155" i="3" s="1"/>
  <c r="N156" i="3"/>
  <c r="M156" i="3"/>
  <c r="M155" i="3" s="1"/>
  <c r="L156" i="3"/>
  <c r="L155" i="3" s="1"/>
  <c r="K156" i="3"/>
  <c r="J156" i="3"/>
  <c r="I156" i="3"/>
  <c r="H156" i="3"/>
  <c r="H155" i="3" s="1"/>
  <c r="G156" i="3"/>
  <c r="F156" i="3"/>
  <c r="F155" i="3" s="1"/>
  <c r="E156" i="3"/>
  <c r="E155" i="3" s="1"/>
  <c r="D156" i="3"/>
  <c r="B156" i="3"/>
  <c r="J155" i="3"/>
  <c r="H153" i="3"/>
  <c r="G152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Q141" i="3"/>
  <c r="B141" i="3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O100" i="3"/>
  <c r="N100" i="3"/>
  <c r="M100" i="3"/>
  <c r="L100" i="3"/>
  <c r="L152" i="3" s="1"/>
  <c r="K100" i="3"/>
  <c r="J100" i="3"/>
  <c r="I100" i="3"/>
  <c r="H100" i="3"/>
  <c r="G100" i="3"/>
  <c r="F100" i="3"/>
  <c r="E100" i="3"/>
  <c r="D100" i="3"/>
  <c r="M98" i="3"/>
  <c r="L98" i="3"/>
  <c r="K98" i="3"/>
  <c r="J98" i="3"/>
  <c r="I98" i="3"/>
  <c r="H98" i="3"/>
  <c r="G98" i="3"/>
  <c r="F98" i="3"/>
  <c r="E98" i="3"/>
  <c r="D98" i="3"/>
  <c r="B98" i="3"/>
  <c r="M97" i="3"/>
  <c r="L97" i="3"/>
  <c r="K97" i="3"/>
  <c r="J97" i="3"/>
  <c r="I97" i="3"/>
  <c r="H97" i="3"/>
  <c r="G97" i="3"/>
  <c r="F97" i="3"/>
  <c r="E97" i="3"/>
  <c r="D97" i="3"/>
  <c r="Q97" i="3" s="1"/>
  <c r="B97" i="3"/>
  <c r="M96" i="3"/>
  <c r="L96" i="3"/>
  <c r="K96" i="3"/>
  <c r="J96" i="3"/>
  <c r="I96" i="3"/>
  <c r="H96" i="3"/>
  <c r="G96" i="3"/>
  <c r="F96" i="3"/>
  <c r="E96" i="3"/>
  <c r="D96" i="3"/>
  <c r="B96" i="3"/>
  <c r="M95" i="3"/>
  <c r="L95" i="3"/>
  <c r="K95" i="3"/>
  <c r="J95" i="3"/>
  <c r="I95" i="3"/>
  <c r="H95" i="3"/>
  <c r="G95" i="3"/>
  <c r="F95" i="3"/>
  <c r="E95" i="3"/>
  <c r="D95" i="3"/>
  <c r="Q95" i="3" s="1"/>
  <c r="B95" i="3"/>
  <c r="M94" i="3"/>
  <c r="L94" i="3"/>
  <c r="K94" i="3"/>
  <c r="J94" i="3"/>
  <c r="I94" i="3"/>
  <c r="H94" i="3"/>
  <c r="G94" i="3"/>
  <c r="F94" i="3"/>
  <c r="E94" i="3"/>
  <c r="D94" i="3"/>
  <c r="B94" i="3"/>
  <c r="M93" i="3"/>
  <c r="L93" i="3"/>
  <c r="K93" i="3"/>
  <c r="J93" i="3"/>
  <c r="I93" i="3"/>
  <c r="H93" i="3"/>
  <c r="G93" i="3"/>
  <c r="F93" i="3"/>
  <c r="E93" i="3"/>
  <c r="D93" i="3"/>
  <c r="B93" i="3"/>
  <c r="M92" i="3"/>
  <c r="L92" i="3"/>
  <c r="K92" i="3"/>
  <c r="J92" i="3"/>
  <c r="I92" i="3"/>
  <c r="H92" i="3"/>
  <c r="G92" i="3"/>
  <c r="F92" i="3"/>
  <c r="E92" i="3"/>
  <c r="D92" i="3"/>
  <c r="B92" i="3"/>
  <c r="M91" i="3"/>
  <c r="L91" i="3"/>
  <c r="K91" i="3"/>
  <c r="J91" i="3"/>
  <c r="I91" i="3"/>
  <c r="H91" i="3"/>
  <c r="G91" i="3"/>
  <c r="F91" i="3"/>
  <c r="E91" i="3"/>
  <c r="D91" i="3"/>
  <c r="Q91" i="3" s="1"/>
  <c r="B91" i="3"/>
  <c r="M90" i="3"/>
  <c r="L90" i="3"/>
  <c r="K90" i="3"/>
  <c r="J90" i="3"/>
  <c r="I90" i="3"/>
  <c r="H90" i="3"/>
  <c r="G90" i="3"/>
  <c r="F90" i="3"/>
  <c r="E90" i="3"/>
  <c r="D90" i="3"/>
  <c r="B90" i="3"/>
  <c r="M89" i="3"/>
  <c r="L89" i="3"/>
  <c r="K89" i="3"/>
  <c r="J89" i="3"/>
  <c r="I89" i="3"/>
  <c r="H89" i="3"/>
  <c r="G89" i="3"/>
  <c r="F89" i="3"/>
  <c r="E89" i="3"/>
  <c r="D89" i="3"/>
  <c r="Q89" i="3" s="1"/>
  <c r="B89" i="3"/>
  <c r="M88" i="3"/>
  <c r="L88" i="3"/>
  <c r="K88" i="3"/>
  <c r="J88" i="3"/>
  <c r="I88" i="3"/>
  <c r="H88" i="3"/>
  <c r="G88" i="3"/>
  <c r="F88" i="3"/>
  <c r="E88" i="3"/>
  <c r="D88" i="3"/>
  <c r="B88" i="3"/>
  <c r="M87" i="3"/>
  <c r="L87" i="3"/>
  <c r="K87" i="3"/>
  <c r="J87" i="3"/>
  <c r="I87" i="3"/>
  <c r="H87" i="3"/>
  <c r="G87" i="3"/>
  <c r="F87" i="3"/>
  <c r="E87" i="3"/>
  <c r="D87" i="3"/>
  <c r="Q87" i="3" s="1"/>
  <c r="B87" i="3"/>
  <c r="M86" i="3"/>
  <c r="L86" i="3"/>
  <c r="K86" i="3"/>
  <c r="J86" i="3"/>
  <c r="I86" i="3"/>
  <c r="H86" i="3"/>
  <c r="G86" i="3"/>
  <c r="F86" i="3"/>
  <c r="E86" i="3"/>
  <c r="D86" i="3"/>
  <c r="B86" i="3"/>
  <c r="M85" i="3"/>
  <c r="L85" i="3"/>
  <c r="K85" i="3"/>
  <c r="J85" i="3"/>
  <c r="I85" i="3"/>
  <c r="H85" i="3"/>
  <c r="G85" i="3"/>
  <c r="F85" i="3"/>
  <c r="E85" i="3"/>
  <c r="D85" i="3"/>
  <c r="Q85" i="3" s="1"/>
  <c r="B85" i="3"/>
  <c r="M84" i="3"/>
  <c r="M10" i="3" s="1"/>
  <c r="M152" i="3" s="1"/>
  <c r="L84" i="3"/>
  <c r="K84" i="3"/>
  <c r="J84" i="3"/>
  <c r="I84" i="3"/>
  <c r="H84" i="3"/>
  <c r="G84" i="3"/>
  <c r="F84" i="3"/>
  <c r="E84" i="3"/>
  <c r="D84" i="3"/>
  <c r="B84" i="3"/>
  <c r="M83" i="3"/>
  <c r="L83" i="3"/>
  <c r="K83" i="3"/>
  <c r="J83" i="3"/>
  <c r="I83" i="3"/>
  <c r="H83" i="3"/>
  <c r="G83" i="3"/>
  <c r="F83" i="3"/>
  <c r="E83" i="3"/>
  <c r="D83" i="3"/>
  <c r="Q83" i="3" s="1"/>
  <c r="B83" i="3"/>
  <c r="M82" i="3"/>
  <c r="L82" i="3"/>
  <c r="K82" i="3"/>
  <c r="J82" i="3"/>
  <c r="I82" i="3"/>
  <c r="H82" i="3"/>
  <c r="G82" i="3"/>
  <c r="F82" i="3"/>
  <c r="E82" i="3"/>
  <c r="D82" i="3"/>
  <c r="B82" i="3"/>
  <c r="M81" i="3"/>
  <c r="L81" i="3"/>
  <c r="K81" i="3"/>
  <c r="J81" i="3"/>
  <c r="I81" i="3"/>
  <c r="H81" i="3"/>
  <c r="G81" i="3"/>
  <c r="F81" i="3"/>
  <c r="E81" i="3"/>
  <c r="D81" i="3"/>
  <c r="B81" i="3"/>
  <c r="M80" i="3"/>
  <c r="L80" i="3"/>
  <c r="K80" i="3"/>
  <c r="J80" i="3"/>
  <c r="I80" i="3"/>
  <c r="H80" i="3"/>
  <c r="G80" i="3"/>
  <c r="F80" i="3"/>
  <c r="E80" i="3"/>
  <c r="D80" i="3"/>
  <c r="B80" i="3"/>
  <c r="M79" i="3"/>
  <c r="L79" i="3"/>
  <c r="K79" i="3"/>
  <c r="J79" i="3"/>
  <c r="I79" i="3"/>
  <c r="H79" i="3"/>
  <c r="G79" i="3"/>
  <c r="F79" i="3"/>
  <c r="E79" i="3"/>
  <c r="D79" i="3"/>
  <c r="Q79" i="3" s="1"/>
  <c r="B79" i="3"/>
  <c r="M78" i="3"/>
  <c r="L78" i="3"/>
  <c r="K78" i="3"/>
  <c r="J78" i="3"/>
  <c r="I78" i="3"/>
  <c r="H78" i="3"/>
  <c r="G78" i="3"/>
  <c r="F78" i="3"/>
  <c r="E78" i="3"/>
  <c r="D78" i="3"/>
  <c r="B78" i="3"/>
  <c r="M77" i="3"/>
  <c r="L77" i="3"/>
  <c r="K77" i="3"/>
  <c r="Q77" i="3" s="1"/>
  <c r="J77" i="3"/>
  <c r="I77" i="3"/>
  <c r="H77" i="3"/>
  <c r="G77" i="3"/>
  <c r="F77" i="3"/>
  <c r="E77" i="3"/>
  <c r="D77" i="3"/>
  <c r="B77" i="3"/>
  <c r="M76" i="3"/>
  <c r="L76" i="3"/>
  <c r="K76" i="3"/>
  <c r="Q76" i="3" s="1"/>
  <c r="J76" i="3"/>
  <c r="I76" i="3"/>
  <c r="H76" i="3"/>
  <c r="G76" i="3"/>
  <c r="F76" i="3"/>
  <c r="E76" i="3"/>
  <c r="D76" i="3"/>
  <c r="B76" i="3"/>
  <c r="M75" i="3"/>
  <c r="L75" i="3"/>
  <c r="K75" i="3"/>
  <c r="Q75" i="3" s="1"/>
  <c r="J75" i="3"/>
  <c r="I75" i="3"/>
  <c r="H75" i="3"/>
  <c r="G75" i="3"/>
  <c r="F75" i="3"/>
  <c r="E75" i="3"/>
  <c r="D75" i="3"/>
  <c r="B75" i="3"/>
  <c r="M74" i="3"/>
  <c r="L74" i="3"/>
  <c r="K74" i="3"/>
  <c r="Q74" i="3" s="1"/>
  <c r="J74" i="3"/>
  <c r="I74" i="3"/>
  <c r="H74" i="3"/>
  <c r="G74" i="3"/>
  <c r="F74" i="3"/>
  <c r="E74" i="3"/>
  <c r="D74" i="3"/>
  <c r="B74" i="3"/>
  <c r="M73" i="3"/>
  <c r="L73" i="3"/>
  <c r="K73" i="3"/>
  <c r="Q73" i="3" s="1"/>
  <c r="J73" i="3"/>
  <c r="I73" i="3"/>
  <c r="H73" i="3"/>
  <c r="G73" i="3"/>
  <c r="F73" i="3"/>
  <c r="E73" i="3"/>
  <c r="D73" i="3"/>
  <c r="B73" i="3"/>
  <c r="M72" i="3"/>
  <c r="L72" i="3"/>
  <c r="K72" i="3"/>
  <c r="Q72" i="3" s="1"/>
  <c r="J72" i="3"/>
  <c r="I72" i="3"/>
  <c r="H72" i="3"/>
  <c r="G72" i="3"/>
  <c r="F72" i="3"/>
  <c r="E72" i="3"/>
  <c r="D72" i="3"/>
  <c r="B72" i="3"/>
  <c r="M71" i="3"/>
  <c r="L71" i="3"/>
  <c r="K71" i="3"/>
  <c r="Q71" i="3" s="1"/>
  <c r="J71" i="3"/>
  <c r="I71" i="3"/>
  <c r="H71" i="3"/>
  <c r="G71" i="3"/>
  <c r="F71" i="3"/>
  <c r="E71" i="3"/>
  <c r="D71" i="3"/>
  <c r="B71" i="3"/>
  <c r="M70" i="3"/>
  <c r="L70" i="3"/>
  <c r="K70" i="3"/>
  <c r="Q70" i="3" s="1"/>
  <c r="J70" i="3"/>
  <c r="I70" i="3"/>
  <c r="H70" i="3"/>
  <c r="G70" i="3"/>
  <c r="F70" i="3"/>
  <c r="E70" i="3"/>
  <c r="D70" i="3"/>
  <c r="B70" i="3"/>
  <c r="M69" i="3"/>
  <c r="L69" i="3"/>
  <c r="K69" i="3"/>
  <c r="Q69" i="3" s="1"/>
  <c r="J69" i="3"/>
  <c r="I69" i="3"/>
  <c r="H69" i="3"/>
  <c r="G69" i="3"/>
  <c r="F69" i="3"/>
  <c r="E69" i="3"/>
  <c r="D69" i="3"/>
  <c r="B69" i="3"/>
  <c r="M68" i="3"/>
  <c r="L68" i="3"/>
  <c r="K68" i="3"/>
  <c r="Q68" i="3" s="1"/>
  <c r="J68" i="3"/>
  <c r="I68" i="3"/>
  <c r="H68" i="3"/>
  <c r="G68" i="3"/>
  <c r="F68" i="3"/>
  <c r="E68" i="3"/>
  <c r="D68" i="3"/>
  <c r="B68" i="3"/>
  <c r="M67" i="3"/>
  <c r="L67" i="3"/>
  <c r="K67" i="3"/>
  <c r="Q67" i="3" s="1"/>
  <c r="J67" i="3"/>
  <c r="I67" i="3"/>
  <c r="H67" i="3"/>
  <c r="G67" i="3"/>
  <c r="F67" i="3"/>
  <c r="E67" i="3"/>
  <c r="D67" i="3"/>
  <c r="B67" i="3"/>
  <c r="M66" i="3"/>
  <c r="L66" i="3"/>
  <c r="K66" i="3"/>
  <c r="Q66" i="3" s="1"/>
  <c r="J66" i="3"/>
  <c r="I66" i="3"/>
  <c r="H66" i="3"/>
  <c r="G66" i="3"/>
  <c r="F66" i="3"/>
  <c r="E66" i="3"/>
  <c r="D66" i="3"/>
  <c r="B66" i="3"/>
  <c r="M65" i="3"/>
  <c r="L65" i="3"/>
  <c r="K65" i="3"/>
  <c r="Q65" i="3" s="1"/>
  <c r="J65" i="3"/>
  <c r="I65" i="3"/>
  <c r="H65" i="3"/>
  <c r="G65" i="3"/>
  <c r="F65" i="3"/>
  <c r="E65" i="3"/>
  <c r="D65" i="3"/>
  <c r="B65" i="3"/>
  <c r="M64" i="3"/>
  <c r="L64" i="3"/>
  <c r="K64" i="3"/>
  <c r="Q64" i="3" s="1"/>
  <c r="J64" i="3"/>
  <c r="I64" i="3"/>
  <c r="H64" i="3"/>
  <c r="G64" i="3"/>
  <c r="F64" i="3"/>
  <c r="E64" i="3"/>
  <c r="D64" i="3"/>
  <c r="B64" i="3"/>
  <c r="M63" i="3"/>
  <c r="L63" i="3"/>
  <c r="K63" i="3"/>
  <c r="Q63" i="3" s="1"/>
  <c r="J63" i="3"/>
  <c r="I63" i="3"/>
  <c r="H63" i="3"/>
  <c r="G63" i="3"/>
  <c r="F63" i="3"/>
  <c r="E63" i="3"/>
  <c r="D63" i="3"/>
  <c r="B63" i="3"/>
  <c r="M62" i="3"/>
  <c r="L62" i="3"/>
  <c r="K62" i="3"/>
  <c r="Q62" i="3" s="1"/>
  <c r="J62" i="3"/>
  <c r="I62" i="3"/>
  <c r="H62" i="3"/>
  <c r="G62" i="3"/>
  <c r="F62" i="3"/>
  <c r="E62" i="3"/>
  <c r="D62" i="3"/>
  <c r="B62" i="3"/>
  <c r="M61" i="3"/>
  <c r="L61" i="3"/>
  <c r="K61" i="3"/>
  <c r="Q61" i="3" s="1"/>
  <c r="J61" i="3"/>
  <c r="I61" i="3"/>
  <c r="H61" i="3"/>
  <c r="G61" i="3"/>
  <c r="F61" i="3"/>
  <c r="E61" i="3"/>
  <c r="D61" i="3"/>
  <c r="B61" i="3"/>
  <c r="M60" i="3"/>
  <c r="L60" i="3"/>
  <c r="K60" i="3"/>
  <c r="Q60" i="3" s="1"/>
  <c r="J60" i="3"/>
  <c r="I60" i="3"/>
  <c r="H60" i="3"/>
  <c r="G60" i="3"/>
  <c r="F60" i="3"/>
  <c r="E60" i="3"/>
  <c r="D60" i="3"/>
  <c r="B60" i="3"/>
  <c r="M59" i="3"/>
  <c r="L59" i="3"/>
  <c r="K59" i="3"/>
  <c r="Q59" i="3" s="1"/>
  <c r="J59" i="3"/>
  <c r="I59" i="3"/>
  <c r="H59" i="3"/>
  <c r="G59" i="3"/>
  <c r="F59" i="3"/>
  <c r="E59" i="3"/>
  <c r="D59" i="3"/>
  <c r="B59" i="3"/>
  <c r="M58" i="3"/>
  <c r="L58" i="3"/>
  <c r="K58" i="3"/>
  <c r="Q58" i="3" s="1"/>
  <c r="J58" i="3"/>
  <c r="I58" i="3"/>
  <c r="H58" i="3"/>
  <c r="G58" i="3"/>
  <c r="F58" i="3"/>
  <c r="E58" i="3"/>
  <c r="D58" i="3"/>
  <c r="B58" i="3"/>
  <c r="M57" i="3"/>
  <c r="L57" i="3"/>
  <c r="K57" i="3"/>
  <c r="Q57" i="3" s="1"/>
  <c r="J57" i="3"/>
  <c r="I57" i="3"/>
  <c r="H57" i="3"/>
  <c r="G57" i="3"/>
  <c r="F57" i="3"/>
  <c r="E57" i="3"/>
  <c r="D57" i="3"/>
  <c r="B57" i="3"/>
  <c r="M56" i="3"/>
  <c r="L56" i="3"/>
  <c r="K56" i="3"/>
  <c r="Q56" i="3" s="1"/>
  <c r="J56" i="3"/>
  <c r="I56" i="3"/>
  <c r="H56" i="3"/>
  <c r="G56" i="3"/>
  <c r="F56" i="3"/>
  <c r="E56" i="3"/>
  <c r="D56" i="3"/>
  <c r="B56" i="3"/>
  <c r="M55" i="3"/>
  <c r="L55" i="3"/>
  <c r="K55" i="3"/>
  <c r="Q55" i="3" s="1"/>
  <c r="J55" i="3"/>
  <c r="I55" i="3"/>
  <c r="H55" i="3"/>
  <c r="G55" i="3"/>
  <c r="F55" i="3"/>
  <c r="E55" i="3"/>
  <c r="D55" i="3"/>
  <c r="B55" i="3"/>
  <c r="M54" i="3"/>
  <c r="L54" i="3"/>
  <c r="K54" i="3"/>
  <c r="Q54" i="3" s="1"/>
  <c r="J54" i="3"/>
  <c r="I54" i="3"/>
  <c r="H54" i="3"/>
  <c r="G54" i="3"/>
  <c r="F54" i="3"/>
  <c r="E54" i="3"/>
  <c r="D54" i="3"/>
  <c r="B54" i="3"/>
  <c r="M53" i="3"/>
  <c r="L53" i="3"/>
  <c r="K53" i="3"/>
  <c r="Q53" i="3" s="1"/>
  <c r="J53" i="3"/>
  <c r="I53" i="3"/>
  <c r="H53" i="3"/>
  <c r="G53" i="3"/>
  <c r="F53" i="3"/>
  <c r="E53" i="3"/>
  <c r="D53" i="3"/>
  <c r="B53" i="3"/>
  <c r="M52" i="3"/>
  <c r="L52" i="3"/>
  <c r="K52" i="3"/>
  <c r="Q52" i="3" s="1"/>
  <c r="J52" i="3"/>
  <c r="I52" i="3"/>
  <c r="H52" i="3"/>
  <c r="G52" i="3"/>
  <c r="F52" i="3"/>
  <c r="E52" i="3"/>
  <c r="D52" i="3"/>
  <c r="B52" i="3"/>
  <c r="M51" i="3"/>
  <c r="L51" i="3"/>
  <c r="K51" i="3"/>
  <c r="Q51" i="3" s="1"/>
  <c r="J51" i="3"/>
  <c r="I51" i="3"/>
  <c r="H51" i="3"/>
  <c r="G51" i="3"/>
  <c r="F51" i="3"/>
  <c r="E51" i="3"/>
  <c r="D51" i="3"/>
  <c r="B51" i="3"/>
  <c r="M50" i="3"/>
  <c r="L50" i="3"/>
  <c r="K50" i="3"/>
  <c r="Q50" i="3" s="1"/>
  <c r="J50" i="3"/>
  <c r="I50" i="3"/>
  <c r="H50" i="3"/>
  <c r="G50" i="3"/>
  <c r="F50" i="3"/>
  <c r="E50" i="3"/>
  <c r="D50" i="3"/>
  <c r="B50" i="3"/>
  <c r="M49" i="3"/>
  <c r="L49" i="3"/>
  <c r="K49" i="3"/>
  <c r="Q49" i="3" s="1"/>
  <c r="J49" i="3"/>
  <c r="I49" i="3"/>
  <c r="H49" i="3"/>
  <c r="G49" i="3"/>
  <c r="F49" i="3"/>
  <c r="E49" i="3"/>
  <c r="D49" i="3"/>
  <c r="B49" i="3"/>
  <c r="M48" i="3"/>
  <c r="L48" i="3"/>
  <c r="K48" i="3"/>
  <c r="Q48" i="3" s="1"/>
  <c r="J48" i="3"/>
  <c r="I48" i="3"/>
  <c r="H48" i="3"/>
  <c r="G48" i="3"/>
  <c r="F48" i="3"/>
  <c r="E48" i="3"/>
  <c r="D48" i="3"/>
  <c r="B48" i="3"/>
  <c r="M47" i="3"/>
  <c r="L47" i="3"/>
  <c r="K47" i="3"/>
  <c r="Q47" i="3" s="1"/>
  <c r="J47" i="3"/>
  <c r="I47" i="3"/>
  <c r="H47" i="3"/>
  <c r="G47" i="3"/>
  <c r="F47" i="3"/>
  <c r="E47" i="3"/>
  <c r="D47" i="3"/>
  <c r="B47" i="3"/>
  <c r="M46" i="3"/>
  <c r="L46" i="3"/>
  <c r="K46" i="3"/>
  <c r="Q46" i="3" s="1"/>
  <c r="J46" i="3"/>
  <c r="I46" i="3"/>
  <c r="H46" i="3"/>
  <c r="G46" i="3"/>
  <c r="F46" i="3"/>
  <c r="E46" i="3"/>
  <c r="D46" i="3"/>
  <c r="B46" i="3"/>
  <c r="M45" i="3"/>
  <c r="L45" i="3"/>
  <c r="K45" i="3"/>
  <c r="Q45" i="3" s="1"/>
  <c r="J45" i="3"/>
  <c r="I45" i="3"/>
  <c r="H45" i="3"/>
  <c r="G45" i="3"/>
  <c r="F45" i="3"/>
  <c r="E45" i="3"/>
  <c r="D45" i="3"/>
  <c r="B45" i="3"/>
  <c r="M44" i="3"/>
  <c r="L44" i="3"/>
  <c r="K44" i="3"/>
  <c r="Q44" i="3" s="1"/>
  <c r="J44" i="3"/>
  <c r="I44" i="3"/>
  <c r="H44" i="3"/>
  <c r="G44" i="3"/>
  <c r="F44" i="3"/>
  <c r="E44" i="3"/>
  <c r="D44" i="3"/>
  <c r="B44" i="3"/>
  <c r="M43" i="3"/>
  <c r="L43" i="3"/>
  <c r="K43" i="3"/>
  <c r="Q43" i="3" s="1"/>
  <c r="J43" i="3"/>
  <c r="I43" i="3"/>
  <c r="H43" i="3"/>
  <c r="G43" i="3"/>
  <c r="F43" i="3"/>
  <c r="E43" i="3"/>
  <c r="D43" i="3"/>
  <c r="B43" i="3"/>
  <c r="M42" i="3"/>
  <c r="L42" i="3"/>
  <c r="K42" i="3"/>
  <c r="Q42" i="3" s="1"/>
  <c r="J42" i="3"/>
  <c r="I42" i="3"/>
  <c r="H42" i="3"/>
  <c r="G42" i="3"/>
  <c r="F42" i="3"/>
  <c r="E42" i="3"/>
  <c r="D42" i="3"/>
  <c r="B42" i="3"/>
  <c r="M41" i="3"/>
  <c r="L41" i="3"/>
  <c r="K41" i="3"/>
  <c r="Q41" i="3" s="1"/>
  <c r="J41" i="3"/>
  <c r="I41" i="3"/>
  <c r="H41" i="3"/>
  <c r="G41" i="3"/>
  <c r="F41" i="3"/>
  <c r="E41" i="3"/>
  <c r="D41" i="3"/>
  <c r="B41" i="3"/>
  <c r="M40" i="3"/>
  <c r="L40" i="3"/>
  <c r="K40" i="3"/>
  <c r="Q40" i="3" s="1"/>
  <c r="J40" i="3"/>
  <c r="I40" i="3"/>
  <c r="H40" i="3"/>
  <c r="G40" i="3"/>
  <c r="F40" i="3"/>
  <c r="E40" i="3"/>
  <c r="D40" i="3"/>
  <c r="B40" i="3"/>
  <c r="M39" i="3"/>
  <c r="L39" i="3"/>
  <c r="K39" i="3"/>
  <c r="Q39" i="3" s="1"/>
  <c r="J39" i="3"/>
  <c r="I39" i="3"/>
  <c r="H39" i="3"/>
  <c r="G39" i="3"/>
  <c r="F39" i="3"/>
  <c r="E39" i="3"/>
  <c r="D39" i="3"/>
  <c r="B39" i="3"/>
  <c r="M38" i="3"/>
  <c r="L38" i="3"/>
  <c r="K38" i="3"/>
  <c r="Q38" i="3" s="1"/>
  <c r="J38" i="3"/>
  <c r="I38" i="3"/>
  <c r="H38" i="3"/>
  <c r="G38" i="3"/>
  <c r="F38" i="3"/>
  <c r="E38" i="3"/>
  <c r="D38" i="3"/>
  <c r="B38" i="3"/>
  <c r="M37" i="3"/>
  <c r="L37" i="3"/>
  <c r="K37" i="3"/>
  <c r="Q37" i="3" s="1"/>
  <c r="J37" i="3"/>
  <c r="I37" i="3"/>
  <c r="H37" i="3"/>
  <c r="G37" i="3"/>
  <c r="F37" i="3"/>
  <c r="E37" i="3"/>
  <c r="D37" i="3"/>
  <c r="B37" i="3"/>
  <c r="M36" i="3"/>
  <c r="L36" i="3"/>
  <c r="K36" i="3"/>
  <c r="Q36" i="3" s="1"/>
  <c r="J36" i="3"/>
  <c r="I36" i="3"/>
  <c r="H36" i="3"/>
  <c r="G36" i="3"/>
  <c r="F36" i="3"/>
  <c r="E36" i="3"/>
  <c r="D36" i="3"/>
  <c r="B36" i="3"/>
  <c r="Q35" i="3"/>
  <c r="M35" i="3"/>
  <c r="L35" i="3"/>
  <c r="K35" i="3"/>
  <c r="J35" i="3"/>
  <c r="I35" i="3"/>
  <c r="H35" i="3"/>
  <c r="G35" i="3"/>
  <c r="F35" i="3"/>
  <c r="E35" i="3"/>
  <c r="D35" i="3"/>
  <c r="B35" i="3"/>
  <c r="Q34" i="3"/>
  <c r="M34" i="3"/>
  <c r="L34" i="3"/>
  <c r="K34" i="3"/>
  <c r="J34" i="3"/>
  <c r="I34" i="3"/>
  <c r="H34" i="3"/>
  <c r="G34" i="3"/>
  <c r="F34" i="3"/>
  <c r="E34" i="3"/>
  <c r="D34" i="3"/>
  <c r="B34" i="3"/>
  <c r="Q33" i="3"/>
  <c r="M33" i="3"/>
  <c r="L33" i="3"/>
  <c r="K33" i="3"/>
  <c r="J33" i="3"/>
  <c r="I33" i="3"/>
  <c r="H33" i="3"/>
  <c r="G33" i="3"/>
  <c r="F33" i="3"/>
  <c r="E33" i="3"/>
  <c r="D33" i="3"/>
  <c r="B33" i="3"/>
  <c r="Q32" i="3"/>
  <c r="M32" i="3"/>
  <c r="L32" i="3"/>
  <c r="K32" i="3"/>
  <c r="J32" i="3"/>
  <c r="I32" i="3"/>
  <c r="H32" i="3"/>
  <c r="G32" i="3"/>
  <c r="F32" i="3"/>
  <c r="E32" i="3"/>
  <c r="D32" i="3"/>
  <c r="B32" i="3"/>
  <c r="Q31" i="3"/>
  <c r="M31" i="3"/>
  <c r="L31" i="3"/>
  <c r="K31" i="3"/>
  <c r="J31" i="3"/>
  <c r="I31" i="3"/>
  <c r="H31" i="3"/>
  <c r="G31" i="3"/>
  <c r="F31" i="3"/>
  <c r="E31" i="3"/>
  <c r="D31" i="3"/>
  <c r="B31" i="3"/>
  <c r="Q30" i="3"/>
  <c r="M30" i="3"/>
  <c r="L30" i="3"/>
  <c r="K30" i="3"/>
  <c r="J30" i="3"/>
  <c r="I30" i="3"/>
  <c r="H30" i="3"/>
  <c r="G30" i="3"/>
  <c r="F30" i="3"/>
  <c r="E30" i="3"/>
  <c r="D30" i="3"/>
  <c r="B30" i="3"/>
  <c r="Q29" i="3"/>
  <c r="M29" i="3"/>
  <c r="L29" i="3"/>
  <c r="K29" i="3"/>
  <c r="J29" i="3"/>
  <c r="I29" i="3"/>
  <c r="H29" i="3"/>
  <c r="G29" i="3"/>
  <c r="F29" i="3"/>
  <c r="E29" i="3"/>
  <c r="D29" i="3"/>
  <c r="B29" i="3"/>
  <c r="Q28" i="3"/>
  <c r="M28" i="3"/>
  <c r="L28" i="3"/>
  <c r="K28" i="3"/>
  <c r="J28" i="3"/>
  <c r="I28" i="3"/>
  <c r="H28" i="3"/>
  <c r="G28" i="3"/>
  <c r="F28" i="3"/>
  <c r="E28" i="3"/>
  <c r="D28" i="3"/>
  <c r="B28" i="3"/>
  <c r="Q27" i="3"/>
  <c r="M27" i="3"/>
  <c r="L27" i="3"/>
  <c r="K27" i="3"/>
  <c r="J27" i="3"/>
  <c r="I27" i="3"/>
  <c r="H27" i="3"/>
  <c r="G27" i="3"/>
  <c r="F27" i="3"/>
  <c r="E27" i="3"/>
  <c r="D27" i="3"/>
  <c r="B27" i="3"/>
  <c r="Q26" i="3"/>
  <c r="M26" i="3"/>
  <c r="L26" i="3"/>
  <c r="K26" i="3"/>
  <c r="J26" i="3"/>
  <c r="I26" i="3"/>
  <c r="H26" i="3"/>
  <c r="G26" i="3"/>
  <c r="F26" i="3"/>
  <c r="E26" i="3"/>
  <c r="D26" i="3"/>
  <c r="B26" i="3"/>
  <c r="Q25" i="3"/>
  <c r="M25" i="3"/>
  <c r="L25" i="3"/>
  <c r="K25" i="3"/>
  <c r="J25" i="3"/>
  <c r="I25" i="3"/>
  <c r="H25" i="3"/>
  <c r="G25" i="3"/>
  <c r="F25" i="3"/>
  <c r="E25" i="3"/>
  <c r="D25" i="3"/>
  <c r="B25" i="3"/>
  <c r="Q24" i="3"/>
  <c r="M24" i="3"/>
  <c r="L24" i="3"/>
  <c r="K24" i="3"/>
  <c r="J24" i="3"/>
  <c r="I24" i="3"/>
  <c r="H24" i="3"/>
  <c r="G24" i="3"/>
  <c r="F24" i="3"/>
  <c r="E24" i="3"/>
  <c r="D24" i="3"/>
  <c r="B24" i="3"/>
  <c r="Q23" i="3"/>
  <c r="M23" i="3"/>
  <c r="L23" i="3"/>
  <c r="K23" i="3"/>
  <c r="J23" i="3"/>
  <c r="I23" i="3"/>
  <c r="H23" i="3"/>
  <c r="G23" i="3"/>
  <c r="F23" i="3"/>
  <c r="E23" i="3"/>
  <c r="D23" i="3"/>
  <c r="B23" i="3"/>
  <c r="Q22" i="3"/>
  <c r="M22" i="3"/>
  <c r="L22" i="3"/>
  <c r="K22" i="3"/>
  <c r="J22" i="3"/>
  <c r="I22" i="3"/>
  <c r="H22" i="3"/>
  <c r="G22" i="3"/>
  <c r="F22" i="3"/>
  <c r="E22" i="3"/>
  <c r="D22" i="3"/>
  <c r="B22" i="3"/>
  <c r="Q21" i="3"/>
  <c r="M21" i="3"/>
  <c r="L21" i="3"/>
  <c r="K21" i="3"/>
  <c r="J21" i="3"/>
  <c r="I21" i="3"/>
  <c r="H21" i="3"/>
  <c r="G21" i="3"/>
  <c r="F21" i="3"/>
  <c r="E21" i="3"/>
  <c r="D21" i="3"/>
  <c r="B21" i="3"/>
  <c r="Q20" i="3"/>
  <c r="M20" i="3"/>
  <c r="L20" i="3"/>
  <c r="K20" i="3"/>
  <c r="J20" i="3"/>
  <c r="I20" i="3"/>
  <c r="H20" i="3"/>
  <c r="G20" i="3"/>
  <c r="F20" i="3"/>
  <c r="E20" i="3"/>
  <c r="D20" i="3"/>
  <c r="B20" i="3"/>
  <c r="Q19" i="3"/>
  <c r="M19" i="3"/>
  <c r="L19" i="3"/>
  <c r="K19" i="3"/>
  <c r="J19" i="3"/>
  <c r="I19" i="3"/>
  <c r="H19" i="3"/>
  <c r="G19" i="3"/>
  <c r="F19" i="3"/>
  <c r="E19" i="3"/>
  <c r="D19" i="3"/>
  <c r="B19" i="3"/>
  <c r="Q18" i="3"/>
  <c r="M18" i="3"/>
  <c r="L18" i="3"/>
  <c r="K18" i="3"/>
  <c r="J18" i="3"/>
  <c r="I18" i="3"/>
  <c r="H18" i="3"/>
  <c r="G18" i="3"/>
  <c r="F18" i="3"/>
  <c r="E18" i="3"/>
  <c r="D18" i="3"/>
  <c r="B18" i="3"/>
  <c r="Q17" i="3"/>
  <c r="M17" i="3"/>
  <c r="L17" i="3"/>
  <c r="K17" i="3"/>
  <c r="J17" i="3"/>
  <c r="I17" i="3"/>
  <c r="H17" i="3"/>
  <c r="G17" i="3"/>
  <c r="F17" i="3"/>
  <c r="E17" i="3"/>
  <c r="D17" i="3"/>
  <c r="B17" i="3"/>
  <c r="Q16" i="3"/>
  <c r="M16" i="3"/>
  <c r="L16" i="3"/>
  <c r="K16" i="3"/>
  <c r="J16" i="3"/>
  <c r="I16" i="3"/>
  <c r="H16" i="3"/>
  <c r="G16" i="3"/>
  <c r="F16" i="3"/>
  <c r="E16" i="3"/>
  <c r="D16" i="3"/>
  <c r="B16" i="3"/>
  <c r="Q15" i="3"/>
  <c r="M15" i="3"/>
  <c r="L15" i="3"/>
  <c r="K15" i="3"/>
  <c r="J15" i="3"/>
  <c r="I15" i="3"/>
  <c r="H15" i="3"/>
  <c r="G15" i="3"/>
  <c r="F15" i="3"/>
  <c r="E15" i="3"/>
  <c r="D15" i="3"/>
  <c r="B15" i="3"/>
  <c r="Q14" i="3"/>
  <c r="M14" i="3"/>
  <c r="L14" i="3"/>
  <c r="K14" i="3"/>
  <c r="J14" i="3"/>
  <c r="I14" i="3"/>
  <c r="H14" i="3"/>
  <c r="G14" i="3"/>
  <c r="F14" i="3"/>
  <c r="E14" i="3"/>
  <c r="D14" i="3"/>
  <c r="B14" i="3"/>
  <c r="Q13" i="3"/>
  <c r="M13" i="3"/>
  <c r="L13" i="3"/>
  <c r="K13" i="3"/>
  <c r="J13" i="3"/>
  <c r="I13" i="3"/>
  <c r="H13" i="3"/>
  <c r="G13" i="3"/>
  <c r="F13" i="3"/>
  <c r="E13" i="3"/>
  <c r="D13" i="3"/>
  <c r="B13" i="3"/>
  <c r="Q12" i="3"/>
  <c r="M12" i="3"/>
  <c r="L12" i="3"/>
  <c r="K12" i="3"/>
  <c r="J12" i="3"/>
  <c r="I12" i="3"/>
  <c r="H12" i="3"/>
  <c r="G12" i="3"/>
  <c r="F12" i="3"/>
  <c r="E12" i="3"/>
  <c r="D12" i="3"/>
  <c r="B12" i="3"/>
  <c r="Q11" i="3"/>
  <c r="M11" i="3"/>
  <c r="L11" i="3"/>
  <c r="K11" i="3"/>
  <c r="J11" i="3"/>
  <c r="I11" i="3"/>
  <c r="I10" i="3" s="1"/>
  <c r="I152" i="3" s="1"/>
  <c r="H11" i="3"/>
  <c r="H10" i="3" s="1"/>
  <c r="H152" i="3" s="1"/>
  <c r="G11" i="3"/>
  <c r="F11" i="3"/>
  <c r="E11" i="3"/>
  <c r="D11" i="3"/>
  <c r="B11" i="3"/>
  <c r="O10" i="3"/>
  <c r="O152" i="3" s="1"/>
  <c r="O153" i="3" s="1"/>
  <c r="N10" i="3"/>
  <c r="L10" i="3"/>
  <c r="J10" i="3"/>
  <c r="J152" i="3" s="1"/>
  <c r="G10" i="3"/>
  <c r="F10" i="3"/>
  <c r="F152" i="3" s="1"/>
  <c r="F262" i="3" s="1"/>
  <c r="E10" i="3"/>
  <c r="D10" i="3"/>
  <c r="D152" i="3" s="1"/>
  <c r="O8" i="3"/>
  <c r="N8" i="3"/>
  <c r="M8" i="3"/>
  <c r="L8" i="3"/>
  <c r="K8" i="3"/>
  <c r="J8" i="3"/>
  <c r="I8" i="3"/>
  <c r="H8" i="3"/>
  <c r="G8" i="3"/>
  <c r="F8" i="3"/>
  <c r="E8" i="3"/>
  <c r="D8" i="3"/>
  <c r="B39" i="98"/>
  <c r="E33" i="98"/>
  <c r="G20" i="98"/>
  <c r="G10" i="98"/>
  <c r="E23" i="97"/>
  <c r="D19" i="97"/>
  <c r="E13" i="97"/>
  <c r="B39" i="96"/>
  <c r="E33" i="96"/>
  <c r="G20" i="96"/>
  <c r="G10" i="96"/>
  <c r="B38" i="98"/>
  <c r="D33" i="98"/>
  <c r="E20" i="98"/>
  <c r="G14" i="98"/>
  <c r="E10" i="98"/>
  <c r="D23" i="97"/>
  <c r="D13" i="97"/>
  <c r="B38" i="96"/>
  <c r="D33" i="96"/>
  <c r="E20" i="96"/>
  <c r="G14" i="96"/>
  <c r="E10" i="96"/>
  <c r="D20" i="98"/>
  <c r="E14" i="98"/>
  <c r="D10" i="98"/>
  <c r="G34" i="97"/>
  <c r="G28" i="97"/>
  <c r="G21" i="97"/>
  <c r="G11" i="97"/>
  <c r="D20" i="96"/>
  <c r="E14" i="96"/>
  <c r="D10" i="96"/>
  <c r="B20" i="98"/>
  <c r="D14" i="98"/>
  <c r="E8" i="98"/>
  <c r="E34" i="97"/>
  <c r="E28" i="97"/>
  <c r="E21" i="97"/>
  <c r="E11" i="97"/>
  <c r="B20" i="96"/>
  <c r="D14" i="96"/>
  <c r="E8" i="96"/>
  <c r="G19" i="98"/>
  <c r="B14" i="98"/>
  <c r="D8" i="98"/>
  <c r="D34" i="97"/>
  <c r="D28" i="97"/>
  <c r="D21" i="97"/>
  <c r="D11" i="97"/>
  <c r="G19" i="96"/>
  <c r="B14" i="96"/>
  <c r="D8" i="96"/>
  <c r="G23" i="98"/>
  <c r="E19" i="98"/>
  <c r="G13" i="98"/>
  <c r="B5" i="98"/>
  <c r="G33" i="97"/>
  <c r="B21" i="97"/>
  <c r="B11" i="97"/>
  <c r="G23" i="96"/>
  <c r="E19" i="96"/>
  <c r="G13" i="96"/>
  <c r="B5" i="96"/>
  <c r="E23" i="98"/>
  <c r="D19" i="98"/>
  <c r="E13" i="98"/>
  <c r="B39" i="97"/>
  <c r="E33" i="97"/>
  <c r="G20" i="97"/>
  <c r="G10" i="97"/>
  <c r="E23" i="96"/>
  <c r="D19" i="96"/>
  <c r="E13" i="96"/>
  <c r="D23" i="98"/>
  <c r="D13" i="98"/>
  <c r="B38" i="97"/>
  <c r="D33" i="97"/>
  <c r="E20" i="97"/>
  <c r="G14" i="97"/>
  <c r="E10" i="97"/>
  <c r="D23" i="96"/>
  <c r="D13" i="96"/>
  <c r="G34" i="98"/>
  <c r="G28" i="98"/>
  <c r="G21" i="98"/>
  <c r="G11" i="98"/>
  <c r="D20" i="97"/>
  <c r="E14" i="97"/>
  <c r="D10" i="97"/>
  <c r="G34" i="96"/>
  <c r="G28" i="96"/>
  <c r="G21" i="96"/>
  <c r="G11" i="96"/>
  <c r="E34" i="98"/>
  <c r="E28" i="98"/>
  <c r="E21" i="98"/>
  <c r="E11" i="98"/>
  <c r="B20" i="97"/>
  <c r="D14" i="97"/>
  <c r="E8" i="97"/>
  <c r="E34" i="96"/>
  <c r="E28" i="96"/>
  <c r="E21" i="96"/>
  <c r="E11" i="96"/>
  <c r="G33" i="98"/>
  <c r="B21" i="98"/>
  <c r="B11" i="98"/>
  <c r="G23" i="97"/>
  <c r="E19" i="97"/>
  <c r="G13" i="97"/>
  <c r="B5" i="97"/>
  <c r="G33" i="96"/>
  <c r="B21" i="96"/>
  <c r="B11" i="96"/>
  <c r="D34" i="98"/>
  <c r="D28" i="96"/>
  <c r="D28" i="98"/>
  <c r="D21" i="96"/>
  <c r="D21" i="98"/>
  <c r="D11" i="96"/>
  <c r="D11" i="98"/>
  <c r="G19" i="97"/>
  <c r="B14" i="97"/>
  <c r="D34" i="96"/>
  <c r="D8" i="97"/>
  <c r="D34" i="53"/>
  <c r="D28" i="53"/>
  <c r="D21" i="53"/>
  <c r="D11" i="53"/>
  <c r="G23" i="52"/>
  <c r="E19" i="52"/>
  <c r="G13" i="52"/>
  <c r="B20" i="50"/>
  <c r="D14" i="50"/>
  <c r="E8" i="50"/>
  <c r="D34" i="49"/>
  <c r="D28" i="49"/>
  <c r="D21" i="49"/>
  <c r="D11" i="49"/>
  <c r="D34" i="47"/>
  <c r="D28" i="47"/>
  <c r="D21" i="47"/>
  <c r="D11" i="47"/>
  <c r="G23" i="46"/>
  <c r="E19" i="46"/>
  <c r="G13" i="46"/>
  <c r="D23" i="44"/>
  <c r="D13" i="44"/>
  <c r="D20" i="43"/>
  <c r="E14" i="43"/>
  <c r="D10" i="43"/>
  <c r="G33" i="53"/>
  <c r="B21" i="53"/>
  <c r="B11" i="53"/>
  <c r="E23" i="52"/>
  <c r="D19" i="52"/>
  <c r="E13" i="52"/>
  <c r="G19" i="50"/>
  <c r="B14" i="50"/>
  <c r="D8" i="50"/>
  <c r="G33" i="49"/>
  <c r="B21" i="49"/>
  <c r="B11" i="49"/>
  <c r="G33" i="47"/>
  <c r="B21" i="47"/>
  <c r="B11" i="47"/>
  <c r="E23" i="46"/>
  <c r="D19" i="46"/>
  <c r="E13" i="46"/>
  <c r="G34" i="44"/>
  <c r="G28" i="44"/>
  <c r="G21" i="44"/>
  <c r="G11" i="44"/>
  <c r="B20" i="43"/>
  <c r="D14" i="43"/>
  <c r="E8" i="43"/>
  <c r="B39" i="53"/>
  <c r="E33" i="53"/>
  <c r="G20" i="53"/>
  <c r="G10" i="53"/>
  <c r="D23" i="52"/>
  <c r="D13" i="52"/>
  <c r="G23" i="50"/>
  <c r="E19" i="50"/>
  <c r="G13" i="50"/>
  <c r="B39" i="49"/>
  <c r="E33" i="49"/>
  <c r="G20" i="49"/>
  <c r="G10" i="49"/>
  <c r="B39" i="47"/>
  <c r="E33" i="47"/>
  <c r="G20" i="47"/>
  <c r="G10" i="47"/>
  <c r="D23" i="46"/>
  <c r="D13" i="46"/>
  <c r="B38" i="53"/>
  <c r="D33" i="53"/>
  <c r="E20" i="53"/>
  <c r="G14" i="53"/>
  <c r="E10" i="53"/>
  <c r="G34" i="52"/>
  <c r="G28" i="52"/>
  <c r="G21" i="52"/>
  <c r="G11" i="52"/>
  <c r="E23" i="50"/>
  <c r="D19" i="50"/>
  <c r="E13" i="50"/>
  <c r="B38" i="49"/>
  <c r="D33" i="49"/>
  <c r="E20" i="49"/>
  <c r="G14" i="49"/>
  <c r="E10" i="49"/>
  <c r="B38" i="47"/>
  <c r="D33" i="47"/>
  <c r="E20" i="47"/>
  <c r="G14" i="47"/>
  <c r="E10" i="47"/>
  <c r="G34" i="46"/>
  <c r="G28" i="46"/>
  <c r="G21" i="46"/>
  <c r="G11" i="46"/>
  <c r="D20" i="53"/>
  <c r="E14" i="53"/>
  <c r="D10" i="53"/>
  <c r="E34" i="52"/>
  <c r="E28" i="52"/>
  <c r="E21" i="52"/>
  <c r="E11" i="52"/>
  <c r="D23" i="50"/>
  <c r="D13" i="50"/>
  <c r="D20" i="49"/>
  <c r="E14" i="49"/>
  <c r="D10" i="49"/>
  <c r="D20" i="47"/>
  <c r="E14" i="47"/>
  <c r="D10" i="47"/>
  <c r="E34" i="46"/>
  <c r="E28" i="46"/>
  <c r="E21" i="46"/>
  <c r="E11" i="46"/>
  <c r="B20" i="53"/>
  <c r="D14" i="53"/>
  <c r="E8" i="53"/>
  <c r="D34" i="52"/>
  <c r="D28" i="52"/>
  <c r="D21" i="52"/>
  <c r="D11" i="52"/>
  <c r="G34" i="50"/>
  <c r="G28" i="50"/>
  <c r="G21" i="50"/>
  <c r="G11" i="50"/>
  <c r="B20" i="49"/>
  <c r="D14" i="49"/>
  <c r="E8" i="49"/>
  <c r="B20" i="47"/>
  <c r="D14" i="47"/>
  <c r="E8" i="47"/>
  <c r="D34" i="46"/>
  <c r="D28" i="46"/>
  <c r="D21" i="46"/>
  <c r="D11" i="46"/>
  <c r="B39" i="44"/>
  <c r="E33" i="44"/>
  <c r="G20" i="44"/>
  <c r="G10" i="44"/>
  <c r="D23" i="43"/>
  <c r="D13" i="43"/>
  <c r="G19" i="53"/>
  <c r="B14" i="53"/>
  <c r="D8" i="53"/>
  <c r="G33" i="52"/>
  <c r="B21" i="52"/>
  <c r="B11" i="52"/>
  <c r="E34" i="50"/>
  <c r="E28" i="50"/>
  <c r="E21" i="50"/>
  <c r="E11" i="50"/>
  <c r="G19" i="49"/>
  <c r="B14" i="49"/>
  <c r="D8" i="49"/>
  <c r="D23" i="53"/>
  <c r="D13" i="53"/>
  <c r="D20" i="52"/>
  <c r="E14" i="52"/>
  <c r="D10" i="52"/>
  <c r="B39" i="50"/>
  <c r="E33" i="50"/>
  <c r="G20" i="50"/>
  <c r="G10" i="50"/>
  <c r="D23" i="49"/>
  <c r="D13" i="49"/>
  <c r="D23" i="47"/>
  <c r="D13" i="47"/>
  <c r="D20" i="46"/>
  <c r="E14" i="46"/>
  <c r="D10" i="46"/>
  <c r="G19" i="44"/>
  <c r="B14" i="44"/>
  <c r="D8" i="44"/>
  <c r="G33" i="43"/>
  <c r="B21" i="43"/>
  <c r="B11" i="43"/>
  <c r="G34" i="53"/>
  <c r="G28" i="53"/>
  <c r="G21" i="53"/>
  <c r="G11" i="53"/>
  <c r="B20" i="52"/>
  <c r="D14" i="52"/>
  <c r="E8" i="52"/>
  <c r="B38" i="50"/>
  <c r="D33" i="50"/>
  <c r="E20" i="50"/>
  <c r="G14" i="50"/>
  <c r="E10" i="50"/>
  <c r="G34" i="49"/>
  <c r="G28" i="49"/>
  <c r="G21" i="49"/>
  <c r="G11" i="49"/>
  <c r="G34" i="47"/>
  <c r="G28" i="47"/>
  <c r="G21" i="47"/>
  <c r="G11" i="47"/>
  <c r="B20" i="46"/>
  <c r="E34" i="53"/>
  <c r="E28" i="53"/>
  <c r="E21" i="53"/>
  <c r="E11" i="53"/>
  <c r="G19" i="52"/>
  <c r="B14" i="52"/>
  <c r="D8" i="52"/>
  <c r="D20" i="50"/>
  <c r="E14" i="50"/>
  <c r="D10" i="50"/>
  <c r="E34" i="49"/>
  <c r="E28" i="49"/>
  <c r="E21" i="49"/>
  <c r="E11" i="49"/>
  <c r="E34" i="47"/>
  <c r="E28" i="47"/>
  <c r="D33" i="52"/>
  <c r="D34" i="50"/>
  <c r="B14" i="47"/>
  <c r="B14" i="46"/>
  <c r="B38" i="44"/>
  <c r="E20" i="44"/>
  <c r="E13" i="44"/>
  <c r="G34" i="43"/>
  <c r="E10" i="43"/>
  <c r="E34" i="41"/>
  <c r="E28" i="41"/>
  <c r="E21" i="41"/>
  <c r="E11" i="41"/>
  <c r="G19" i="40"/>
  <c r="B14" i="40"/>
  <c r="D8" i="40"/>
  <c r="E23" i="38"/>
  <c r="D19" i="38"/>
  <c r="E13" i="38"/>
  <c r="B38" i="37"/>
  <c r="D33" i="37"/>
  <c r="E20" i="37"/>
  <c r="G14" i="37"/>
  <c r="E10" i="37"/>
  <c r="G33" i="50"/>
  <c r="G13" i="47"/>
  <c r="B11" i="46"/>
  <c r="E28" i="44"/>
  <c r="D20" i="44"/>
  <c r="E11" i="44"/>
  <c r="E34" i="43"/>
  <c r="D8" i="43"/>
  <c r="D34" i="41"/>
  <c r="D28" i="41"/>
  <c r="D21" i="41"/>
  <c r="D11" i="41"/>
  <c r="G23" i="40"/>
  <c r="E19" i="40"/>
  <c r="G13" i="40"/>
  <c r="D23" i="38"/>
  <c r="D13" i="38"/>
  <c r="D20" i="37"/>
  <c r="E14" i="37"/>
  <c r="D10" i="37"/>
  <c r="D28" i="50"/>
  <c r="G23" i="49"/>
  <c r="E13" i="47"/>
  <c r="G10" i="46"/>
  <c r="D28" i="44"/>
  <c r="B20" i="44"/>
  <c r="D11" i="44"/>
  <c r="D34" i="43"/>
  <c r="G23" i="43"/>
  <c r="G33" i="41"/>
  <c r="B21" i="41"/>
  <c r="B11" i="41"/>
  <c r="E23" i="40"/>
  <c r="D19" i="40"/>
  <c r="E13" i="40"/>
  <c r="G34" i="38"/>
  <c r="G28" i="38"/>
  <c r="G21" i="38"/>
  <c r="G11" i="38"/>
  <c r="B20" i="37"/>
  <c r="D14" i="37"/>
  <c r="E8" i="37"/>
  <c r="G23" i="53"/>
  <c r="G20" i="52"/>
  <c r="E23" i="49"/>
  <c r="E11" i="47"/>
  <c r="E10" i="46"/>
  <c r="E19" i="44"/>
  <c r="B11" i="44"/>
  <c r="E33" i="43"/>
  <c r="E23" i="43"/>
  <c r="B39" i="41"/>
  <c r="E33" i="41"/>
  <c r="G20" i="41"/>
  <c r="G10" i="41"/>
  <c r="D23" i="40"/>
  <c r="D13" i="40"/>
  <c r="E23" i="53"/>
  <c r="E20" i="52"/>
  <c r="D21" i="50"/>
  <c r="E19" i="49"/>
  <c r="D8" i="47"/>
  <c r="B21" i="46"/>
  <c r="E8" i="46"/>
  <c r="D19" i="44"/>
  <c r="E10" i="44"/>
  <c r="D33" i="43"/>
  <c r="G21" i="43"/>
  <c r="G14" i="43"/>
  <c r="B38" i="41"/>
  <c r="D33" i="41"/>
  <c r="E20" i="41"/>
  <c r="G14" i="41"/>
  <c r="E10" i="41"/>
  <c r="G34" i="40"/>
  <c r="G28" i="40"/>
  <c r="G21" i="40"/>
  <c r="G11" i="40"/>
  <c r="D34" i="38"/>
  <c r="D28" i="38"/>
  <c r="D21" i="38"/>
  <c r="D11" i="38"/>
  <c r="G23" i="37"/>
  <c r="E19" i="37"/>
  <c r="G13" i="37"/>
  <c r="E19" i="53"/>
  <c r="B21" i="50"/>
  <c r="D19" i="49"/>
  <c r="G23" i="47"/>
  <c r="B39" i="46"/>
  <c r="G20" i="46"/>
  <c r="D8" i="46"/>
  <c r="E34" i="44"/>
  <c r="D10" i="44"/>
  <c r="E21" i="43"/>
  <c r="B14" i="43"/>
  <c r="D20" i="41"/>
  <c r="E14" i="41"/>
  <c r="D10" i="41"/>
  <c r="E34" i="40"/>
  <c r="E28" i="40"/>
  <c r="E21" i="40"/>
  <c r="E11" i="40"/>
  <c r="G33" i="38"/>
  <c r="B21" i="38"/>
  <c r="B11" i="38"/>
  <c r="E23" i="37"/>
  <c r="D19" i="37"/>
  <c r="E13" i="37"/>
  <c r="D19" i="53"/>
  <c r="G14" i="52"/>
  <c r="G13" i="49"/>
  <c r="E23" i="47"/>
  <c r="B38" i="46"/>
  <c r="E20" i="46"/>
  <c r="D34" i="44"/>
  <c r="E8" i="44"/>
  <c r="D21" i="43"/>
  <c r="G13" i="43"/>
  <c r="B20" i="41"/>
  <c r="D14" i="41"/>
  <c r="E8" i="41"/>
  <c r="D34" i="40"/>
  <c r="D28" i="40"/>
  <c r="D21" i="40"/>
  <c r="D11" i="40"/>
  <c r="B39" i="38"/>
  <c r="E33" i="38"/>
  <c r="G20" i="38"/>
  <c r="G10" i="38"/>
  <c r="D23" i="37"/>
  <c r="D13" i="37"/>
  <c r="G13" i="53"/>
  <c r="G10" i="52"/>
  <c r="E13" i="49"/>
  <c r="E21" i="47"/>
  <c r="G19" i="46"/>
  <c r="G33" i="44"/>
  <c r="G23" i="44"/>
  <c r="B39" i="43"/>
  <c r="G20" i="43"/>
  <c r="E13" i="43"/>
  <c r="G19" i="41"/>
  <c r="B14" i="41"/>
  <c r="D8" i="41"/>
  <c r="G33" i="40"/>
  <c r="B21" i="40"/>
  <c r="B11" i="40"/>
  <c r="B38" i="38"/>
  <c r="D33" i="38"/>
  <c r="E20" i="38"/>
  <c r="G14" i="38"/>
  <c r="E10" i="38"/>
  <c r="G34" i="37"/>
  <c r="G28" i="37"/>
  <c r="G21" i="37"/>
  <c r="G11" i="37"/>
  <c r="B39" i="52"/>
  <c r="B11" i="50"/>
  <c r="E19" i="47"/>
  <c r="E33" i="46"/>
  <c r="E21" i="44"/>
  <c r="E14" i="44"/>
  <c r="E28" i="43"/>
  <c r="G19" i="43"/>
  <c r="E11" i="43"/>
  <c r="E23" i="41"/>
  <c r="D19" i="41"/>
  <c r="E13" i="41"/>
  <c r="B38" i="40"/>
  <c r="D33" i="40"/>
  <c r="E20" i="40"/>
  <c r="G14" i="40"/>
  <c r="E10" i="40"/>
  <c r="B20" i="38"/>
  <c r="D14" i="38"/>
  <c r="E8" i="38"/>
  <c r="D34" i="37"/>
  <c r="D28" i="37"/>
  <c r="D21" i="37"/>
  <c r="D11" i="37"/>
  <c r="E33" i="52"/>
  <c r="D14" i="46"/>
  <c r="B21" i="44"/>
  <c r="G13" i="44"/>
  <c r="D19" i="43"/>
  <c r="G10" i="43"/>
  <c r="G34" i="41"/>
  <c r="G28" i="41"/>
  <c r="G21" i="41"/>
  <c r="G11" i="41"/>
  <c r="B20" i="40"/>
  <c r="D14" i="40"/>
  <c r="E8" i="40"/>
  <c r="G14" i="46"/>
  <c r="D20" i="38"/>
  <c r="E34" i="37"/>
  <c r="B38" i="35"/>
  <c r="D33" i="35"/>
  <c r="E20" i="35"/>
  <c r="G14" i="35"/>
  <c r="E10" i="35"/>
  <c r="G34" i="34"/>
  <c r="G28" i="34"/>
  <c r="G21" i="34"/>
  <c r="G11" i="34"/>
  <c r="B39" i="32"/>
  <c r="E33" i="32"/>
  <c r="G20" i="32"/>
  <c r="G10" i="32"/>
  <c r="D23" i="31"/>
  <c r="D13" i="31"/>
  <c r="G33" i="29"/>
  <c r="B21" i="29"/>
  <c r="B11" i="29"/>
  <c r="E23" i="28"/>
  <c r="D19" i="28"/>
  <c r="E13" i="28"/>
  <c r="G28" i="43"/>
  <c r="G19" i="38"/>
  <c r="G33" i="37"/>
  <c r="D20" i="35"/>
  <c r="E14" i="35"/>
  <c r="D10" i="35"/>
  <c r="E34" i="34"/>
  <c r="E28" i="34"/>
  <c r="E21" i="34"/>
  <c r="E11" i="34"/>
  <c r="B38" i="32"/>
  <c r="D33" i="32"/>
  <c r="E20" i="32"/>
  <c r="G14" i="32"/>
  <c r="E10" i="32"/>
  <c r="G34" i="31"/>
  <c r="G28" i="31"/>
  <c r="G21" i="31"/>
  <c r="G11" i="31"/>
  <c r="B39" i="29"/>
  <c r="E33" i="29"/>
  <c r="G20" i="29"/>
  <c r="G10" i="29"/>
  <c r="D23" i="28"/>
  <c r="D13" i="28"/>
  <c r="D28" i="43"/>
  <c r="G23" i="41"/>
  <c r="G20" i="40"/>
  <c r="E19" i="38"/>
  <c r="E33" i="37"/>
  <c r="B20" i="35"/>
  <c r="D14" i="35"/>
  <c r="E8" i="35"/>
  <c r="D34" i="34"/>
  <c r="D28" i="34"/>
  <c r="D21" i="34"/>
  <c r="D11" i="34"/>
  <c r="D20" i="32"/>
  <c r="E14" i="32"/>
  <c r="D10" i="32"/>
  <c r="E34" i="31"/>
  <c r="E28" i="31"/>
  <c r="E21" i="31"/>
  <c r="E11" i="31"/>
  <c r="B38" i="29"/>
  <c r="D33" i="29"/>
  <c r="E20" i="29"/>
  <c r="G14" i="29"/>
  <c r="E10" i="29"/>
  <c r="G34" i="28"/>
  <c r="G28" i="28"/>
  <c r="G21" i="28"/>
  <c r="G11" i="28"/>
  <c r="E20" i="43"/>
  <c r="D23" i="41"/>
  <c r="D20" i="40"/>
  <c r="E34" i="38"/>
  <c r="B14" i="37"/>
  <c r="G19" i="35"/>
  <c r="B14" i="35"/>
  <c r="D8" i="35"/>
  <c r="G33" i="34"/>
  <c r="B21" i="34"/>
  <c r="B11" i="34"/>
  <c r="B20" i="32"/>
  <c r="D14" i="32"/>
  <c r="E8" i="32"/>
  <c r="D34" i="31"/>
  <c r="D28" i="31"/>
  <c r="D21" i="31"/>
  <c r="D11" i="31"/>
  <c r="D20" i="29"/>
  <c r="E14" i="29"/>
  <c r="D10" i="29"/>
  <c r="E34" i="28"/>
  <c r="E28" i="28"/>
  <c r="E21" i="28"/>
  <c r="E11" i="28"/>
  <c r="E19" i="43"/>
  <c r="E19" i="41"/>
  <c r="E14" i="38"/>
  <c r="E28" i="37"/>
  <c r="E11" i="37"/>
  <c r="G23" i="35"/>
  <c r="E19" i="35"/>
  <c r="G13" i="35"/>
  <c r="B39" i="34"/>
  <c r="E33" i="34"/>
  <c r="G20" i="34"/>
  <c r="G10" i="34"/>
  <c r="G19" i="32"/>
  <c r="B14" i="32"/>
  <c r="D8" i="32"/>
  <c r="G33" i="31"/>
  <c r="B21" i="31"/>
  <c r="B11" i="31"/>
  <c r="B20" i="29"/>
  <c r="D14" i="29"/>
  <c r="E8" i="29"/>
  <c r="D34" i="28"/>
  <c r="D28" i="28"/>
  <c r="D21" i="28"/>
  <c r="D11" i="28"/>
  <c r="E13" i="53"/>
  <c r="D33" i="44"/>
  <c r="G11" i="43"/>
  <c r="E14" i="40"/>
  <c r="B14" i="38"/>
  <c r="B11" i="37"/>
  <c r="E23" i="35"/>
  <c r="D19" i="35"/>
  <c r="E13" i="35"/>
  <c r="B38" i="34"/>
  <c r="D33" i="34"/>
  <c r="E20" i="34"/>
  <c r="G14" i="34"/>
  <c r="E10" i="34"/>
  <c r="G23" i="32"/>
  <c r="E19" i="32"/>
  <c r="G13" i="32"/>
  <c r="B39" i="31"/>
  <c r="E33" i="31"/>
  <c r="G20" i="31"/>
  <c r="G10" i="31"/>
  <c r="B38" i="52"/>
  <c r="D11" i="43"/>
  <c r="G13" i="41"/>
  <c r="G10" i="40"/>
  <c r="G13" i="38"/>
  <c r="G10" i="37"/>
  <c r="D23" i="35"/>
  <c r="D13" i="35"/>
  <c r="D20" i="34"/>
  <c r="E14" i="34"/>
  <c r="D10" i="34"/>
  <c r="E23" i="32"/>
  <c r="D19" i="32"/>
  <c r="E13" i="32"/>
  <c r="B38" i="31"/>
  <c r="D33" i="31"/>
  <c r="E20" i="31"/>
  <c r="G14" i="31"/>
  <c r="E10" i="31"/>
  <c r="G23" i="29"/>
  <c r="E19" i="29"/>
  <c r="G13" i="29"/>
  <c r="B39" i="28"/>
  <c r="E33" i="28"/>
  <c r="G20" i="28"/>
  <c r="G10" i="28"/>
  <c r="E10" i="52"/>
  <c r="G19" i="47"/>
  <c r="E23" i="44"/>
  <c r="D13" i="41"/>
  <c r="D10" i="40"/>
  <c r="E28" i="38"/>
  <c r="E11" i="38"/>
  <c r="D8" i="37"/>
  <c r="G34" i="35"/>
  <c r="G28" i="35"/>
  <c r="G21" i="35"/>
  <c r="G11" i="35"/>
  <c r="B20" i="34"/>
  <c r="D14" i="34"/>
  <c r="E8" i="34"/>
  <c r="D23" i="32"/>
  <c r="D13" i="32"/>
  <c r="D20" i="31"/>
  <c r="E14" i="31"/>
  <c r="D10" i="31"/>
  <c r="E23" i="29"/>
  <c r="D19" i="29"/>
  <c r="E13" i="29"/>
  <c r="B38" i="28"/>
  <c r="D33" i="28"/>
  <c r="E20" i="28"/>
  <c r="G14" i="28"/>
  <c r="E10" i="28"/>
  <c r="G33" i="46"/>
  <c r="G14" i="44"/>
  <c r="D8" i="38"/>
  <c r="B21" i="37"/>
  <c r="D34" i="35"/>
  <c r="D28" i="35"/>
  <c r="D21" i="35"/>
  <c r="D11" i="35"/>
  <c r="G23" i="34"/>
  <c r="E19" i="34"/>
  <c r="G13" i="34"/>
  <c r="E34" i="32"/>
  <c r="E28" i="32"/>
  <c r="E21" i="32"/>
  <c r="E11" i="32"/>
  <c r="G19" i="31"/>
  <c r="B14" i="31"/>
  <c r="D8" i="31"/>
  <c r="G34" i="29"/>
  <c r="D33" i="46"/>
  <c r="D14" i="44"/>
  <c r="E33" i="40"/>
  <c r="G23" i="38"/>
  <c r="B39" i="37"/>
  <c r="G20" i="37"/>
  <c r="G33" i="35"/>
  <c r="B21" i="35"/>
  <c r="B11" i="35"/>
  <c r="E23" i="34"/>
  <c r="D19" i="34"/>
  <c r="E13" i="34"/>
  <c r="D34" i="32"/>
  <c r="D28" i="32"/>
  <c r="D21" i="32"/>
  <c r="D11" i="32"/>
  <c r="G23" i="31"/>
  <c r="E19" i="31"/>
  <c r="G13" i="31"/>
  <c r="E34" i="29"/>
  <c r="E28" i="29"/>
  <c r="E21" i="29"/>
  <c r="E11" i="29"/>
  <c r="G19" i="28"/>
  <c r="B14" i="28"/>
  <c r="D8" i="28"/>
  <c r="B38" i="43"/>
  <c r="E21" i="38"/>
  <c r="G19" i="37"/>
  <c r="B39" i="35"/>
  <c r="E33" i="35"/>
  <c r="G20" i="35"/>
  <c r="G10" i="35"/>
  <c r="D23" i="34"/>
  <c r="D13" i="34"/>
  <c r="G33" i="32"/>
  <c r="B21" i="32"/>
  <c r="B11" i="32"/>
  <c r="E23" i="31"/>
  <c r="D19" i="31"/>
  <c r="E13" i="31"/>
  <c r="D34" i="29"/>
  <c r="D28" i="29"/>
  <c r="D21" i="29"/>
  <c r="D11" i="29"/>
  <c r="G23" i="28"/>
  <c r="E19" i="28"/>
  <c r="G13" i="28"/>
  <c r="G33" i="28"/>
  <c r="B11" i="28"/>
  <c r="G23" i="26"/>
  <c r="E19" i="26"/>
  <c r="G13" i="26"/>
  <c r="B39" i="25"/>
  <c r="E33" i="25"/>
  <c r="G20" i="25"/>
  <c r="G10" i="25"/>
  <c r="B39" i="23"/>
  <c r="E33" i="23"/>
  <c r="G20" i="23"/>
  <c r="G10" i="23"/>
  <c r="D23" i="22"/>
  <c r="D13" i="22"/>
  <c r="B20" i="20"/>
  <c r="D14" i="20"/>
  <c r="E8" i="20"/>
  <c r="D34" i="19"/>
  <c r="D28" i="19"/>
  <c r="D21" i="19"/>
  <c r="D11" i="19"/>
  <c r="D19" i="47"/>
  <c r="D23" i="29"/>
  <c r="D10" i="28"/>
  <c r="E23" i="26"/>
  <c r="D19" i="26"/>
  <c r="E13" i="26"/>
  <c r="B38" i="25"/>
  <c r="D33" i="25"/>
  <c r="E20" i="25"/>
  <c r="G14" i="25"/>
  <c r="E10" i="25"/>
  <c r="B38" i="23"/>
  <c r="D33" i="23"/>
  <c r="E20" i="23"/>
  <c r="G14" i="23"/>
  <c r="E10" i="23"/>
  <c r="G34" i="22"/>
  <c r="G28" i="22"/>
  <c r="G21" i="22"/>
  <c r="G11" i="22"/>
  <c r="G19" i="20"/>
  <c r="B14" i="20"/>
  <c r="D8" i="20"/>
  <c r="G33" i="19"/>
  <c r="B21" i="19"/>
  <c r="B11" i="19"/>
  <c r="E34" i="17"/>
  <c r="E28" i="17"/>
  <c r="E21" i="17"/>
  <c r="E11" i="17"/>
  <c r="G19" i="16"/>
  <c r="B14" i="16"/>
  <c r="D8" i="16"/>
  <c r="D10" i="38"/>
  <c r="G19" i="34"/>
  <c r="G21" i="29"/>
  <c r="E8" i="28"/>
  <c r="D23" i="26"/>
  <c r="D13" i="26"/>
  <c r="D20" i="25"/>
  <c r="E14" i="25"/>
  <c r="D10" i="25"/>
  <c r="D20" i="23"/>
  <c r="E14" i="23"/>
  <c r="D10" i="23"/>
  <c r="E34" i="22"/>
  <c r="E28" i="22"/>
  <c r="E21" i="22"/>
  <c r="E11" i="22"/>
  <c r="G23" i="20"/>
  <c r="E19" i="20"/>
  <c r="G13" i="20"/>
  <c r="B39" i="19"/>
  <c r="E33" i="19"/>
  <c r="G20" i="19"/>
  <c r="G10" i="19"/>
  <c r="E21" i="37"/>
  <c r="B14" i="34"/>
  <c r="B20" i="31"/>
  <c r="G19" i="29"/>
  <c r="G34" i="26"/>
  <c r="G28" i="26"/>
  <c r="G21" i="26"/>
  <c r="G11" i="26"/>
  <c r="B20" i="25"/>
  <c r="D14" i="25"/>
  <c r="E8" i="25"/>
  <c r="B20" i="23"/>
  <c r="D14" i="23"/>
  <c r="E8" i="23"/>
  <c r="D34" i="22"/>
  <c r="D28" i="22"/>
  <c r="D21" i="22"/>
  <c r="D11" i="22"/>
  <c r="E23" i="20"/>
  <c r="D19" i="20"/>
  <c r="E13" i="20"/>
  <c r="B38" i="19"/>
  <c r="D33" i="19"/>
  <c r="E20" i="19"/>
  <c r="G14" i="19"/>
  <c r="E10" i="19"/>
  <c r="G33" i="17"/>
  <c r="B21" i="17"/>
  <c r="B11" i="17"/>
  <c r="D8" i="34"/>
  <c r="D14" i="31"/>
  <c r="E34" i="26"/>
  <c r="E28" i="26"/>
  <c r="E21" i="26"/>
  <c r="E11" i="26"/>
  <c r="G19" i="25"/>
  <c r="B14" i="25"/>
  <c r="D8" i="25"/>
  <c r="G19" i="23"/>
  <c r="B14" i="23"/>
  <c r="D8" i="23"/>
  <c r="G33" i="22"/>
  <c r="B21" i="22"/>
  <c r="B11" i="22"/>
  <c r="D23" i="20"/>
  <c r="D13" i="20"/>
  <c r="D20" i="19"/>
  <c r="E14" i="19"/>
  <c r="D10" i="19"/>
  <c r="E8" i="31"/>
  <c r="D34" i="26"/>
  <c r="D28" i="26"/>
  <c r="D21" i="26"/>
  <c r="D11" i="26"/>
  <c r="G23" i="25"/>
  <c r="E19" i="25"/>
  <c r="G13" i="25"/>
  <c r="G23" i="23"/>
  <c r="E19" i="23"/>
  <c r="G13" i="23"/>
  <c r="B39" i="22"/>
  <c r="E33" i="22"/>
  <c r="G20" i="22"/>
  <c r="G10" i="22"/>
  <c r="G34" i="20"/>
  <c r="G28" i="20"/>
  <c r="G21" i="20"/>
  <c r="G11" i="20"/>
  <c r="B20" i="19"/>
  <c r="D14" i="19"/>
  <c r="E8" i="19"/>
  <c r="B39" i="40"/>
  <c r="E34" i="35"/>
  <c r="B14" i="29"/>
  <c r="B21" i="28"/>
  <c r="G33" i="26"/>
  <c r="B21" i="26"/>
  <c r="B11" i="26"/>
  <c r="E23" i="25"/>
  <c r="D19" i="25"/>
  <c r="E13" i="25"/>
  <c r="E23" i="23"/>
  <c r="D19" i="23"/>
  <c r="E13" i="23"/>
  <c r="B38" i="22"/>
  <c r="D33" i="22"/>
  <c r="E20" i="22"/>
  <c r="G14" i="22"/>
  <c r="E10" i="22"/>
  <c r="E34" i="20"/>
  <c r="E28" i="20"/>
  <c r="E21" i="20"/>
  <c r="E11" i="20"/>
  <c r="G19" i="19"/>
  <c r="B14" i="19"/>
  <c r="D8" i="19"/>
  <c r="D20" i="17"/>
  <c r="E14" i="17"/>
  <c r="D10" i="17"/>
  <c r="E34" i="16"/>
  <c r="E28" i="16"/>
  <c r="E21" i="16"/>
  <c r="E11" i="16"/>
  <c r="D11" i="50"/>
  <c r="G21" i="32"/>
  <c r="D8" i="29"/>
  <c r="D20" i="26"/>
  <c r="E14" i="26"/>
  <c r="D10" i="26"/>
  <c r="E34" i="25"/>
  <c r="E28" i="25"/>
  <c r="E21" i="25"/>
  <c r="E11" i="25"/>
  <c r="E34" i="23"/>
  <c r="E28" i="23"/>
  <c r="E21" i="23"/>
  <c r="E11" i="23"/>
  <c r="G19" i="22"/>
  <c r="B14" i="22"/>
  <c r="D8" i="22"/>
  <c r="B39" i="20"/>
  <c r="E33" i="20"/>
  <c r="G20" i="20"/>
  <c r="G10" i="20"/>
  <c r="D23" i="19"/>
  <c r="D13" i="19"/>
  <c r="G23" i="17"/>
  <c r="E19" i="17"/>
  <c r="G13" i="17"/>
  <c r="B39" i="16"/>
  <c r="E33" i="16"/>
  <c r="G20" i="16"/>
  <c r="G10" i="16"/>
  <c r="D21" i="44"/>
  <c r="E11" i="35"/>
  <c r="E14" i="28"/>
  <c r="B20" i="26"/>
  <c r="D14" i="26"/>
  <c r="E8" i="26"/>
  <c r="D34" i="25"/>
  <c r="D28" i="25"/>
  <c r="D21" i="25"/>
  <c r="D11" i="25"/>
  <c r="D34" i="23"/>
  <c r="D28" i="23"/>
  <c r="D21" i="23"/>
  <c r="D11" i="23"/>
  <c r="G23" i="22"/>
  <c r="E19" i="22"/>
  <c r="G13" i="22"/>
  <c r="B38" i="20"/>
  <c r="D33" i="20"/>
  <c r="E20" i="20"/>
  <c r="G14" i="20"/>
  <c r="E10" i="20"/>
  <c r="G34" i="19"/>
  <c r="G28" i="19"/>
  <c r="G21" i="19"/>
  <c r="G11" i="19"/>
  <c r="E23" i="17"/>
  <c r="D19" i="17"/>
  <c r="E13" i="17"/>
  <c r="B38" i="16"/>
  <c r="D33" i="16"/>
  <c r="E20" i="16"/>
  <c r="G14" i="16"/>
  <c r="E10" i="16"/>
  <c r="G11" i="32"/>
  <c r="G28" i="29"/>
  <c r="D14" i="28"/>
  <c r="G19" i="26"/>
  <c r="B14" i="26"/>
  <c r="D8" i="26"/>
  <c r="G33" i="25"/>
  <c r="B21" i="25"/>
  <c r="B11" i="25"/>
  <c r="G33" i="23"/>
  <c r="B21" i="23"/>
  <c r="B11" i="23"/>
  <c r="E23" i="22"/>
  <c r="D19" i="22"/>
  <c r="E13" i="22"/>
  <c r="D20" i="20"/>
  <c r="E14" i="20"/>
  <c r="D10" i="20"/>
  <c r="E34" i="19"/>
  <c r="E28" i="19"/>
  <c r="E21" i="19"/>
  <c r="E11" i="19"/>
  <c r="D23" i="17"/>
  <c r="D13" i="17"/>
  <c r="D20" i="16"/>
  <c r="E14" i="16"/>
  <c r="D10" i="16"/>
  <c r="B20" i="28"/>
  <c r="G10" i="26"/>
  <c r="B38" i="17"/>
  <c r="G14" i="17"/>
  <c r="G23" i="16"/>
  <c r="G33" i="14"/>
  <c r="B21" i="14"/>
  <c r="B11" i="14"/>
  <c r="E23" i="13"/>
  <c r="D19" i="13"/>
  <c r="E13" i="13"/>
  <c r="D20" i="11"/>
  <c r="E14" i="11"/>
  <c r="D10" i="11"/>
  <c r="E34" i="10"/>
  <c r="E28" i="10"/>
  <c r="E21" i="10"/>
  <c r="E11" i="10"/>
  <c r="G19" i="8"/>
  <c r="B14" i="8"/>
  <c r="D8" i="8"/>
  <c r="E10" i="26"/>
  <c r="G28" i="23"/>
  <c r="D34" i="20"/>
  <c r="D14" i="17"/>
  <c r="G34" i="16"/>
  <c r="E23" i="16"/>
  <c r="D14" i="16"/>
  <c r="B39" i="14"/>
  <c r="E33" i="14"/>
  <c r="G20" i="14"/>
  <c r="G10" i="14"/>
  <c r="D23" i="13"/>
  <c r="D13" i="13"/>
  <c r="B20" i="11"/>
  <c r="D14" i="11"/>
  <c r="E8" i="11"/>
  <c r="D34" i="10"/>
  <c r="D28" i="10"/>
  <c r="D21" i="10"/>
  <c r="D11" i="10"/>
  <c r="B39" i="26"/>
  <c r="D23" i="23"/>
  <c r="D20" i="22"/>
  <c r="G33" i="20"/>
  <c r="B14" i="17"/>
  <c r="D34" i="16"/>
  <c r="D23" i="16"/>
  <c r="G13" i="16"/>
  <c r="B38" i="14"/>
  <c r="D33" i="14"/>
  <c r="E20" i="14"/>
  <c r="G14" i="14"/>
  <c r="E10" i="14"/>
  <c r="G34" i="13"/>
  <c r="G28" i="13"/>
  <c r="G21" i="13"/>
  <c r="G11" i="13"/>
  <c r="G19" i="11"/>
  <c r="B14" i="11"/>
  <c r="D8" i="11"/>
  <c r="G33" i="10"/>
  <c r="B21" i="10"/>
  <c r="B11" i="10"/>
  <c r="E23" i="8"/>
  <c r="D19" i="8"/>
  <c r="E13" i="8"/>
  <c r="B38" i="7"/>
  <c r="D33" i="7"/>
  <c r="E20" i="7"/>
  <c r="G14" i="7"/>
  <c r="E10" i="7"/>
  <c r="G34" i="32"/>
  <c r="B38" i="26"/>
  <c r="G34" i="25"/>
  <c r="G21" i="23"/>
  <c r="B20" i="22"/>
  <c r="D28" i="20"/>
  <c r="G23" i="19"/>
  <c r="G34" i="17"/>
  <c r="G21" i="17"/>
  <c r="G11" i="17"/>
  <c r="G33" i="16"/>
  <c r="G21" i="16"/>
  <c r="E13" i="16"/>
  <c r="D20" i="14"/>
  <c r="E14" i="14"/>
  <c r="D10" i="14"/>
  <c r="E34" i="13"/>
  <c r="E28" i="13"/>
  <c r="E21" i="13"/>
  <c r="E11" i="13"/>
  <c r="G23" i="11"/>
  <c r="E19" i="11"/>
  <c r="G13" i="11"/>
  <c r="B39" i="10"/>
  <c r="E33" i="10"/>
  <c r="G20" i="10"/>
  <c r="G10" i="10"/>
  <c r="D23" i="8"/>
  <c r="D13" i="8"/>
  <c r="D20" i="7"/>
  <c r="E14" i="7"/>
  <c r="E28" i="35"/>
  <c r="G28" i="32"/>
  <c r="E33" i="26"/>
  <c r="E14" i="22"/>
  <c r="E23" i="19"/>
  <c r="D34" i="17"/>
  <c r="D21" i="17"/>
  <c r="D11" i="17"/>
  <c r="D21" i="16"/>
  <c r="D13" i="16"/>
  <c r="B20" i="14"/>
  <c r="D14" i="14"/>
  <c r="E8" i="14"/>
  <c r="D34" i="13"/>
  <c r="D28" i="13"/>
  <c r="D21" i="13"/>
  <c r="D11" i="13"/>
  <c r="E23" i="11"/>
  <c r="D19" i="11"/>
  <c r="E13" i="11"/>
  <c r="B38" i="10"/>
  <c r="D33" i="10"/>
  <c r="E20" i="10"/>
  <c r="G14" i="10"/>
  <c r="E10" i="10"/>
  <c r="G34" i="8"/>
  <c r="G28" i="8"/>
  <c r="G21" i="8"/>
  <c r="G11" i="8"/>
  <c r="E21" i="35"/>
  <c r="D33" i="26"/>
  <c r="G28" i="25"/>
  <c r="D14" i="22"/>
  <c r="D21" i="20"/>
  <c r="E19" i="19"/>
  <c r="E33" i="17"/>
  <c r="G20" i="17"/>
  <c r="G10" i="17"/>
  <c r="B21" i="16"/>
  <c r="G11" i="16"/>
  <c r="G19" i="14"/>
  <c r="B14" i="14"/>
  <c r="D8" i="14"/>
  <c r="G33" i="13"/>
  <c r="B21" i="13"/>
  <c r="B11" i="13"/>
  <c r="D23" i="11"/>
  <c r="D13" i="11"/>
  <c r="D20" i="10"/>
  <c r="E14" i="10"/>
  <c r="D10" i="10"/>
  <c r="E34" i="8"/>
  <c r="D23" i="25"/>
  <c r="D13" i="23"/>
  <c r="D10" i="22"/>
  <c r="B21" i="20"/>
  <c r="D19" i="19"/>
  <c r="D33" i="17"/>
  <c r="E20" i="17"/>
  <c r="E10" i="17"/>
  <c r="B20" i="16"/>
  <c r="D11" i="16"/>
  <c r="G23" i="14"/>
  <c r="E19" i="14"/>
  <c r="G13" i="14"/>
  <c r="B39" i="13"/>
  <c r="E33" i="13"/>
  <c r="G20" i="13"/>
  <c r="G10" i="13"/>
  <c r="G21" i="25"/>
  <c r="G11" i="23"/>
  <c r="E8" i="22"/>
  <c r="G13" i="19"/>
  <c r="B20" i="17"/>
  <c r="E8" i="17"/>
  <c r="E19" i="16"/>
  <c r="B11" i="16"/>
  <c r="E23" i="14"/>
  <c r="D19" i="14"/>
  <c r="E13" i="14"/>
  <c r="B38" i="13"/>
  <c r="D33" i="13"/>
  <c r="E20" i="13"/>
  <c r="G14" i="13"/>
  <c r="E10" i="13"/>
  <c r="E34" i="11"/>
  <c r="E28" i="11"/>
  <c r="G20" i="26"/>
  <c r="E13" i="19"/>
  <c r="G19" i="17"/>
  <c r="D8" i="17"/>
  <c r="G28" i="16"/>
  <c r="D19" i="16"/>
  <c r="E8" i="16"/>
  <c r="D23" i="14"/>
  <c r="D13" i="14"/>
  <c r="D20" i="13"/>
  <c r="E14" i="13"/>
  <c r="D10" i="13"/>
  <c r="D13" i="29"/>
  <c r="E20" i="26"/>
  <c r="D11" i="20"/>
  <c r="G28" i="17"/>
  <c r="D28" i="16"/>
  <c r="G34" i="14"/>
  <c r="G28" i="14"/>
  <c r="G21" i="14"/>
  <c r="G11" i="14"/>
  <c r="B20" i="13"/>
  <c r="D14" i="13"/>
  <c r="E8" i="13"/>
  <c r="G33" i="11"/>
  <c r="B21" i="11"/>
  <c r="B11" i="11"/>
  <c r="E23" i="10"/>
  <c r="D19" i="10"/>
  <c r="E13" i="10"/>
  <c r="B38" i="8"/>
  <c r="D33" i="8"/>
  <c r="E20" i="8"/>
  <c r="G14" i="8"/>
  <c r="E10" i="8"/>
  <c r="G34" i="7"/>
  <c r="G28" i="7"/>
  <c r="G21" i="7"/>
  <c r="G11" i="7"/>
  <c r="G13" i="13"/>
  <c r="E21" i="11"/>
  <c r="G10" i="11"/>
  <c r="G13" i="10"/>
  <c r="D28" i="8"/>
  <c r="E19" i="8"/>
  <c r="D10" i="8"/>
  <c r="E23" i="7"/>
  <c r="D10" i="7"/>
  <c r="E34" i="5"/>
  <c r="E28" i="5"/>
  <c r="E21" i="5"/>
  <c r="E11" i="5"/>
  <c r="G19" i="4"/>
  <c r="B14" i="4"/>
  <c r="D8" i="4"/>
  <c r="E11" i="14"/>
  <c r="D8" i="13"/>
  <c r="B39" i="11"/>
  <c r="D21" i="11"/>
  <c r="E10" i="11"/>
  <c r="D13" i="10"/>
  <c r="B39" i="8"/>
  <c r="E8" i="8"/>
  <c r="D23" i="7"/>
  <c r="E8" i="7"/>
  <c r="D34" i="5"/>
  <c r="D28" i="5"/>
  <c r="D21" i="5"/>
  <c r="D11" i="5"/>
  <c r="G23" i="4"/>
  <c r="E19" i="4"/>
  <c r="G13" i="4"/>
  <c r="G34" i="23"/>
  <c r="D11" i="14"/>
  <c r="B38" i="11"/>
  <c r="G20" i="11"/>
  <c r="G23" i="10"/>
  <c r="G11" i="10"/>
  <c r="B39" i="7"/>
  <c r="E21" i="7"/>
  <c r="D8" i="7"/>
  <c r="G33" i="5"/>
  <c r="B21" i="5"/>
  <c r="B11" i="5"/>
  <c r="E23" i="4"/>
  <c r="D19" i="4"/>
  <c r="E13" i="4"/>
  <c r="G34" i="11"/>
  <c r="E20" i="11"/>
  <c r="D23" i="10"/>
  <c r="E8" i="10"/>
  <c r="D21" i="7"/>
  <c r="D14" i="7"/>
  <c r="B39" i="5"/>
  <c r="E33" i="5"/>
  <c r="G20" i="5"/>
  <c r="G10" i="5"/>
  <c r="D23" i="4"/>
  <c r="D13" i="4"/>
  <c r="D34" i="11"/>
  <c r="G21" i="10"/>
  <c r="D8" i="10"/>
  <c r="B21" i="7"/>
  <c r="B14" i="7"/>
  <c r="B38" i="5"/>
  <c r="D33" i="5"/>
  <c r="E20" i="5"/>
  <c r="G14" i="5"/>
  <c r="E10" i="5"/>
  <c r="G34" i="4"/>
  <c r="G28" i="4"/>
  <c r="G21" i="4"/>
  <c r="G11" i="4"/>
  <c r="E34" i="14"/>
  <c r="E33" i="11"/>
  <c r="B20" i="10"/>
  <c r="D34" i="8"/>
  <c r="G23" i="8"/>
  <c r="E14" i="8"/>
  <c r="E28" i="7"/>
  <c r="G20" i="7"/>
  <c r="G13" i="7"/>
  <c r="D20" i="5"/>
  <c r="E14" i="5"/>
  <c r="D10" i="5"/>
  <c r="E34" i="4"/>
  <c r="E28" i="4"/>
  <c r="E21" i="4"/>
  <c r="E11" i="4"/>
  <c r="G14" i="26"/>
  <c r="B11" i="20"/>
  <c r="D34" i="14"/>
  <c r="D33" i="11"/>
  <c r="G34" i="10"/>
  <c r="G19" i="10"/>
  <c r="G33" i="8"/>
  <c r="E21" i="8"/>
  <c r="D14" i="8"/>
  <c r="D28" i="7"/>
  <c r="B20" i="7"/>
  <c r="E13" i="7"/>
  <c r="B20" i="5"/>
  <c r="D14" i="5"/>
  <c r="E8" i="5"/>
  <c r="D34" i="4"/>
  <c r="D28" i="4"/>
  <c r="D21" i="4"/>
  <c r="D11" i="4"/>
  <c r="D13" i="25"/>
  <c r="B39" i="17"/>
  <c r="E28" i="14"/>
  <c r="G28" i="11"/>
  <c r="E19" i="10"/>
  <c r="E33" i="8"/>
  <c r="D21" i="8"/>
  <c r="G13" i="8"/>
  <c r="G19" i="7"/>
  <c r="D13" i="7"/>
  <c r="G19" i="5"/>
  <c r="B14" i="5"/>
  <c r="D8" i="5"/>
  <c r="G33" i="4"/>
  <c r="B21" i="4"/>
  <c r="B11" i="4"/>
  <c r="G11" i="29"/>
  <c r="E21" i="14"/>
  <c r="G19" i="13"/>
  <c r="G11" i="11"/>
  <c r="G20" i="8"/>
  <c r="D11" i="8"/>
  <c r="D34" i="7"/>
  <c r="D19" i="7"/>
  <c r="D11" i="7"/>
  <c r="E23" i="5"/>
  <c r="D19" i="5"/>
  <c r="E13" i="5"/>
  <c r="B38" i="4"/>
  <c r="D33" i="4"/>
  <c r="E20" i="4"/>
  <c r="G14" i="4"/>
  <c r="E10" i="4"/>
  <c r="B14" i="13"/>
  <c r="G21" i="11"/>
  <c r="D11" i="11"/>
  <c r="G28" i="10"/>
  <c r="B14" i="10"/>
  <c r="E28" i="8"/>
  <c r="B20" i="8"/>
  <c r="G10" i="8"/>
  <c r="E33" i="7"/>
  <c r="G23" i="7"/>
  <c r="G10" i="7"/>
  <c r="G34" i="5"/>
  <c r="G28" i="5"/>
  <c r="G21" i="5"/>
  <c r="G11" i="5"/>
  <c r="B20" i="4"/>
  <c r="D14" i="4"/>
  <c r="E8" i="4"/>
  <c r="E19" i="7"/>
  <c r="E33" i="4"/>
  <c r="G11" i="25"/>
  <c r="D28" i="17"/>
  <c r="D28" i="14"/>
  <c r="D14" i="10"/>
  <c r="E11" i="7"/>
  <c r="D21" i="14"/>
  <c r="B11" i="7"/>
  <c r="G23" i="13"/>
  <c r="B21" i="8"/>
  <c r="G23" i="5"/>
  <c r="G20" i="4"/>
  <c r="E19" i="13"/>
  <c r="D20" i="8"/>
  <c r="D23" i="5"/>
  <c r="D20" i="4"/>
  <c r="E11" i="8"/>
  <c r="E19" i="5"/>
  <c r="D20" i="28"/>
  <c r="D28" i="11"/>
  <c r="B11" i="8"/>
  <c r="E14" i="4"/>
  <c r="E34" i="7"/>
  <c r="G13" i="5"/>
  <c r="G10" i="4"/>
  <c r="G14" i="11"/>
  <c r="G33" i="7"/>
  <c r="D13" i="5"/>
  <c r="D10" i="4"/>
  <c r="E11" i="11"/>
  <c r="B39" i="4"/>
  <c r="D16" i="4" l="1"/>
  <c r="G16" i="4"/>
  <c r="G16" i="7"/>
  <c r="G16" i="8"/>
  <c r="E16" i="4"/>
  <c r="D16" i="5"/>
  <c r="E16" i="5"/>
  <c r="G16" i="5"/>
  <c r="E16" i="11"/>
  <c r="D16" i="7"/>
  <c r="D16" i="8"/>
  <c r="G16" i="11"/>
  <c r="E16" i="8"/>
  <c r="D16" i="13"/>
  <c r="E16" i="13"/>
  <c r="G16" i="13"/>
  <c r="E16" i="17"/>
  <c r="D16" i="22"/>
  <c r="D16" i="10"/>
  <c r="G16" i="17"/>
  <c r="E16" i="10"/>
  <c r="G16" i="10"/>
  <c r="D16" i="14"/>
  <c r="E16" i="7"/>
  <c r="E16" i="14"/>
  <c r="G16" i="14"/>
  <c r="E16" i="26"/>
  <c r="D16" i="11"/>
  <c r="G16" i="26"/>
  <c r="D16" i="16"/>
  <c r="D16" i="20"/>
  <c r="E16" i="16"/>
  <c r="E16" i="20"/>
  <c r="G16" i="16"/>
  <c r="G16" i="20"/>
  <c r="D16" i="26"/>
  <c r="D16" i="17"/>
  <c r="E16" i="22"/>
  <c r="G16" i="22"/>
  <c r="D16" i="19"/>
  <c r="E16" i="19"/>
  <c r="G16" i="19"/>
  <c r="D16" i="23"/>
  <c r="D16" i="25"/>
  <c r="D16" i="38"/>
  <c r="E16" i="23"/>
  <c r="E16" i="25"/>
  <c r="D16" i="28"/>
  <c r="G16" i="23"/>
  <c r="G16" i="25"/>
  <c r="G16" i="35"/>
  <c r="E16" i="28"/>
  <c r="D16" i="31"/>
  <c r="D16" i="40"/>
  <c r="E16" i="52"/>
  <c r="G16" i="28"/>
  <c r="E16" i="31"/>
  <c r="D16" i="34"/>
  <c r="G16" i="37"/>
  <c r="G16" i="40"/>
  <c r="G16" i="31"/>
  <c r="E16" i="34"/>
  <c r="G16" i="34"/>
  <c r="D16" i="29"/>
  <c r="E16" i="29"/>
  <c r="D16" i="32"/>
  <c r="G16" i="29"/>
  <c r="E16" i="32"/>
  <c r="D16" i="35"/>
  <c r="G16" i="32"/>
  <c r="E16" i="35"/>
  <c r="G16" i="43"/>
  <c r="E16" i="40"/>
  <c r="E16" i="38"/>
  <c r="G16" i="52"/>
  <c r="G16" i="38"/>
  <c r="D16" i="41"/>
  <c r="D16" i="44"/>
  <c r="E16" i="41"/>
  <c r="E16" i="44"/>
  <c r="G16" i="41"/>
  <c r="E16" i="46"/>
  <c r="G16" i="46"/>
  <c r="D16" i="37"/>
  <c r="E16" i="37"/>
  <c r="E16" i="43"/>
  <c r="D16" i="50"/>
  <c r="E16" i="50"/>
  <c r="D16" i="46"/>
  <c r="G16" i="50"/>
  <c r="D16" i="52"/>
  <c r="G16" i="44"/>
  <c r="D16" i="47"/>
  <c r="D16" i="49"/>
  <c r="D16" i="53"/>
  <c r="E16" i="47"/>
  <c r="E16" i="49"/>
  <c r="E16" i="53"/>
  <c r="G16" i="47"/>
  <c r="G16" i="49"/>
  <c r="G16" i="53"/>
  <c r="D16" i="43"/>
  <c r="D16" i="97"/>
  <c r="E16" i="97"/>
  <c r="G16" i="97"/>
  <c r="D16" i="96"/>
  <c r="D16" i="98"/>
  <c r="E16" i="96"/>
  <c r="E16" i="98"/>
  <c r="G16" i="96"/>
  <c r="G16" i="98"/>
  <c r="I262" i="3"/>
  <c r="I153" i="3"/>
  <c r="H21" i="6"/>
  <c r="H15" i="6"/>
  <c r="Q22" i="6"/>
  <c r="Q25" i="6"/>
  <c r="Q10" i="3"/>
  <c r="Q152" i="3" s="1"/>
  <c r="M262" i="3"/>
  <c r="M153" i="3"/>
  <c r="Q78" i="3"/>
  <c r="Q90" i="3"/>
  <c r="Q251" i="3"/>
  <c r="O262" i="3"/>
  <c r="E31" i="6"/>
  <c r="E32" i="6" s="1"/>
  <c r="E26" i="6"/>
  <c r="K15" i="9"/>
  <c r="D153" i="3"/>
  <c r="D262" i="3"/>
  <c r="E152" i="3"/>
  <c r="Q88" i="3"/>
  <c r="Q156" i="3"/>
  <c r="Q155" i="3" s="1"/>
  <c r="Q189" i="3"/>
  <c r="Q204" i="3"/>
  <c r="L99" i="21"/>
  <c r="L95" i="21"/>
  <c r="F267" i="3"/>
  <c r="F263" i="3"/>
  <c r="G25" i="6"/>
  <c r="G22" i="6"/>
  <c r="Q28" i="6"/>
  <c r="O119" i="15"/>
  <c r="H262" i="3"/>
  <c r="Q86" i="3"/>
  <c r="Q98" i="3"/>
  <c r="Q183" i="3"/>
  <c r="Q198" i="3"/>
  <c r="Q213" i="3"/>
  <c r="Q227" i="3"/>
  <c r="E15" i="6"/>
  <c r="K17" i="9"/>
  <c r="K94" i="9" s="1"/>
  <c r="J262" i="3"/>
  <c r="J153" i="3"/>
  <c r="J21" i="6"/>
  <c r="J15" i="6"/>
  <c r="I21" i="6"/>
  <c r="I15" i="6"/>
  <c r="G15" i="6"/>
  <c r="G123" i="12"/>
  <c r="J123" i="12"/>
  <c r="J226" i="12"/>
  <c r="Q11" i="15"/>
  <c r="Q10" i="15" s="1"/>
  <c r="Q118" i="15" s="1"/>
  <c r="D10" i="15"/>
  <c r="D118" i="15" s="1"/>
  <c r="Q84" i="3"/>
  <c r="Q96" i="3"/>
  <c r="G262" i="3"/>
  <c r="G153" i="3"/>
  <c r="F21" i="6"/>
  <c r="Q49" i="9"/>
  <c r="K10" i="3"/>
  <c r="K152" i="3" s="1"/>
  <c r="L21" i="6"/>
  <c r="L15" i="6"/>
  <c r="K21" i="6"/>
  <c r="K15" i="6"/>
  <c r="I123" i="12"/>
  <c r="L10" i="12"/>
  <c r="L122" i="12" s="1"/>
  <c r="N152" i="3"/>
  <c r="Q82" i="3"/>
  <c r="Q94" i="3"/>
  <c r="F153" i="3"/>
  <c r="Q178" i="3"/>
  <c r="Q208" i="3"/>
  <c r="Q236" i="3"/>
  <c r="M21" i="6"/>
  <c r="M15" i="6"/>
  <c r="E22" i="6"/>
  <c r="Q30" i="9"/>
  <c r="Q43" i="9"/>
  <c r="N226" i="12"/>
  <c r="N123" i="12"/>
  <c r="Q81" i="3"/>
  <c r="Q93" i="3"/>
  <c r="Q100" i="3"/>
  <c r="Q270" i="3"/>
  <c r="N21" i="6"/>
  <c r="N15" i="6"/>
  <c r="Q51" i="9"/>
  <c r="O123" i="12"/>
  <c r="Q80" i="3"/>
  <c r="Q92" i="3"/>
  <c r="L262" i="3"/>
  <c r="L153" i="3"/>
  <c r="Q194" i="3"/>
  <c r="Q217" i="3"/>
  <c r="Q257" i="3"/>
  <c r="D25" i="6"/>
  <c r="E10" i="12"/>
  <c r="E122" i="12" s="1"/>
  <c r="F15" i="9"/>
  <c r="F94" i="9"/>
  <c r="H15" i="9"/>
  <c r="H94" i="9"/>
  <c r="D155" i="3"/>
  <c r="O21" i="6"/>
  <c r="E15" i="9"/>
  <c r="O17" i="9"/>
  <c r="Q83" i="9"/>
  <c r="Q92" i="9"/>
  <c r="I94" i="9"/>
  <c r="F122" i="12"/>
  <c r="Q18" i="12"/>
  <c r="Q30" i="12"/>
  <c r="Q42" i="12"/>
  <c r="Q54" i="12"/>
  <c r="Q66" i="12"/>
  <c r="I125" i="12"/>
  <c r="I226" i="12" s="1"/>
  <c r="M119" i="15"/>
  <c r="Q122" i="15"/>
  <c r="J17" i="9"/>
  <c r="J94" i="9" s="1"/>
  <c r="H226" i="12"/>
  <c r="H123" i="12"/>
  <c r="Q16" i="12"/>
  <c r="Q28" i="12"/>
  <c r="Q40" i="12"/>
  <c r="Q52" i="12"/>
  <c r="Q64" i="12"/>
  <c r="Q76" i="12"/>
  <c r="K125" i="12"/>
  <c r="Q163" i="12"/>
  <c r="Q170" i="12"/>
  <c r="F121" i="15"/>
  <c r="D121" i="15"/>
  <c r="Q178" i="15"/>
  <c r="Q11" i="18"/>
  <c r="E10" i="18"/>
  <c r="E142" i="18" s="1"/>
  <c r="Q207" i="18"/>
  <c r="M94" i="9"/>
  <c r="Q53" i="9"/>
  <c r="M10" i="12"/>
  <c r="M122" i="12" s="1"/>
  <c r="Q14" i="12"/>
  <c r="Q26" i="12"/>
  <c r="Q38" i="12"/>
  <c r="Q50" i="12"/>
  <c r="Q62" i="12"/>
  <c r="Q74" i="12"/>
  <c r="Q137" i="12"/>
  <c r="G125" i="12"/>
  <c r="G226" i="12" s="1"/>
  <c r="Q150" i="12"/>
  <c r="Q47" i="9"/>
  <c r="Q86" i="9"/>
  <c r="Q13" i="12"/>
  <c r="Q25" i="12"/>
  <c r="Q37" i="12"/>
  <c r="Q49" i="12"/>
  <c r="Q61" i="12"/>
  <c r="Q73" i="12"/>
  <c r="J220" i="15"/>
  <c r="J119" i="15"/>
  <c r="I121" i="15"/>
  <c r="I220" i="15" s="1"/>
  <c r="D143" i="18"/>
  <c r="D244" i="18"/>
  <c r="O94" i="9"/>
  <c r="O15" i="9"/>
  <c r="Q41" i="9"/>
  <c r="Q12" i="12"/>
  <c r="Q24" i="12"/>
  <c r="Q36" i="12"/>
  <c r="Q48" i="12"/>
  <c r="Q60" i="12"/>
  <c r="Q72" i="12"/>
  <c r="O125" i="12"/>
  <c r="O226" i="12" s="1"/>
  <c r="Q158" i="12"/>
  <c r="G119" i="15"/>
  <c r="G220" i="15"/>
  <c r="Q166" i="15"/>
  <c r="L94" i="9"/>
  <c r="N17" i="9"/>
  <c r="N94" i="9" s="1"/>
  <c r="Q11" i="12"/>
  <c r="Q10" i="12" s="1"/>
  <c r="Q122" i="12" s="1"/>
  <c r="Q23" i="12"/>
  <c r="Q35" i="12"/>
  <c r="Q47" i="12"/>
  <c r="Q59" i="12"/>
  <c r="Q71" i="12"/>
  <c r="Q126" i="12"/>
  <c r="Q173" i="12"/>
  <c r="Q180" i="12"/>
  <c r="E118" i="15"/>
  <c r="H220" i="15"/>
  <c r="H119" i="15"/>
  <c r="M121" i="15"/>
  <c r="M220" i="15" s="1"/>
  <c r="E25" i="21"/>
  <c r="F94" i="21"/>
  <c r="F25" i="21"/>
  <c r="D17" i="9"/>
  <c r="Q18" i="9"/>
  <c r="Q62" i="9"/>
  <c r="Q88" i="9"/>
  <c r="Q22" i="12"/>
  <c r="Q34" i="12"/>
  <c r="Q46" i="12"/>
  <c r="Q58" i="12"/>
  <c r="Q70" i="12"/>
  <c r="Q194" i="12"/>
  <c r="Q221" i="12"/>
  <c r="F220" i="15"/>
  <c r="F119" i="15"/>
  <c r="I119" i="15"/>
  <c r="Q174" i="15"/>
  <c r="L10" i="18"/>
  <c r="L142" i="18" s="1"/>
  <c r="G94" i="21"/>
  <c r="G25" i="21"/>
  <c r="E17" i="9"/>
  <c r="E94" i="9" s="1"/>
  <c r="Q21" i="12"/>
  <c r="Q33" i="12"/>
  <c r="Q45" i="12"/>
  <c r="Q57" i="12"/>
  <c r="Q69" i="12"/>
  <c r="D125" i="12"/>
  <c r="Q153" i="12"/>
  <c r="Q167" i="12"/>
  <c r="K226" i="12"/>
  <c r="Q133" i="15"/>
  <c r="Q146" i="15"/>
  <c r="K121" i="15"/>
  <c r="K220" i="15" s="1"/>
  <c r="Q188" i="15"/>
  <c r="Q20" i="24"/>
  <c r="H54" i="27"/>
  <c r="Q20" i="12"/>
  <c r="Q32" i="12"/>
  <c r="Q44" i="12"/>
  <c r="Q56" i="12"/>
  <c r="Q68" i="12"/>
  <c r="Q175" i="12"/>
  <c r="Q182" i="12"/>
  <c r="Q215" i="12"/>
  <c r="Q161" i="15"/>
  <c r="K54" i="27"/>
  <c r="D94" i="9"/>
  <c r="D15" i="9"/>
  <c r="Q15" i="9"/>
  <c r="M15" i="9"/>
  <c r="G17" i="9"/>
  <c r="G94" i="9" s="1"/>
  <c r="H125" i="12"/>
  <c r="K119" i="15"/>
  <c r="L220" i="15"/>
  <c r="L119" i="15"/>
  <c r="O121" i="15"/>
  <c r="O220" i="15" s="1"/>
  <c r="Q169" i="15"/>
  <c r="Q176" i="15"/>
  <c r="D10" i="12"/>
  <c r="D122" i="12" s="1"/>
  <c r="Q215" i="15"/>
  <c r="Q21" i="18"/>
  <c r="Q33" i="18"/>
  <c r="Q45" i="18"/>
  <c r="Q57" i="18"/>
  <c r="Q69" i="18"/>
  <c r="Q81" i="18"/>
  <c r="F145" i="18"/>
  <c r="L145" i="18"/>
  <c r="Q173" i="18"/>
  <c r="Q187" i="18"/>
  <c r="Q220" i="18"/>
  <c r="Q233" i="18"/>
  <c r="Q242" i="18"/>
  <c r="D27" i="21"/>
  <c r="Q28" i="21"/>
  <c r="Q68" i="21"/>
  <c r="Q75" i="21"/>
  <c r="G36" i="24"/>
  <c r="I93" i="24"/>
  <c r="I37" i="24"/>
  <c r="Q18" i="24"/>
  <c r="M39" i="24"/>
  <c r="L10" i="27"/>
  <c r="L53" i="27" s="1"/>
  <c r="Q15" i="27"/>
  <c r="Q27" i="27"/>
  <c r="F143" i="18"/>
  <c r="F244" i="18"/>
  <c r="Q20" i="18"/>
  <c r="Q32" i="18"/>
  <c r="Q44" i="18"/>
  <c r="Q56" i="18"/>
  <c r="Q68" i="18"/>
  <c r="Q80" i="18"/>
  <c r="Q92" i="18"/>
  <c r="E27" i="21"/>
  <c r="E94" i="21" s="1"/>
  <c r="Q89" i="21"/>
  <c r="Q17" i="24"/>
  <c r="Q78" i="24"/>
  <c r="N53" i="27"/>
  <c r="M10" i="27"/>
  <c r="M53" i="27" s="1"/>
  <c r="Q14" i="27"/>
  <c r="Q10" i="27" s="1"/>
  <c r="Q53" i="27" s="1"/>
  <c r="Q26" i="27"/>
  <c r="E115" i="27"/>
  <c r="E54" i="27"/>
  <c r="F10" i="30"/>
  <c r="F76" i="30" s="1"/>
  <c r="J27" i="69"/>
  <c r="Q209" i="15"/>
  <c r="G143" i="18"/>
  <c r="G244" i="18"/>
  <c r="I10" i="18"/>
  <c r="I142" i="18" s="1"/>
  <c r="Q19" i="18"/>
  <c r="Q31" i="18"/>
  <c r="Q43" i="18"/>
  <c r="Q55" i="18"/>
  <c r="Q67" i="18"/>
  <c r="Q79" i="18"/>
  <c r="Q90" i="18"/>
  <c r="Q181" i="18"/>
  <c r="J25" i="21"/>
  <c r="J94" i="21"/>
  <c r="H94" i="21"/>
  <c r="M27" i="21"/>
  <c r="Q55" i="21"/>
  <c r="M94" i="21"/>
  <c r="J93" i="24"/>
  <c r="J37" i="24"/>
  <c r="Q16" i="24"/>
  <c r="O115" i="27"/>
  <c r="O54" i="27"/>
  <c r="Q13" i="27"/>
  <c r="Q25" i="27"/>
  <c r="M126" i="39"/>
  <c r="M122" i="39"/>
  <c r="N220" i="15"/>
  <c r="Q149" i="15"/>
  <c r="H244" i="18"/>
  <c r="J10" i="18"/>
  <c r="J142" i="18" s="1"/>
  <c r="Q18" i="18"/>
  <c r="Q30" i="18"/>
  <c r="Q42" i="18"/>
  <c r="Q54" i="18"/>
  <c r="Q66" i="18"/>
  <c r="Q78" i="18"/>
  <c r="Q89" i="18"/>
  <c r="H143" i="18"/>
  <c r="I25" i="21"/>
  <c r="I94" i="21"/>
  <c r="N27" i="21"/>
  <c r="N94" i="21" s="1"/>
  <c r="K93" i="24"/>
  <c r="K37" i="24"/>
  <c r="L93" i="24"/>
  <c r="Q12" i="27"/>
  <c r="Q24" i="27"/>
  <c r="N119" i="15"/>
  <c r="Q17" i="18"/>
  <c r="Q29" i="18"/>
  <c r="Q41" i="18"/>
  <c r="Q53" i="18"/>
  <c r="Q65" i="18"/>
  <c r="Q77" i="18"/>
  <c r="Q88" i="18"/>
  <c r="Q168" i="18"/>
  <c r="O145" i="18"/>
  <c r="Q211" i="15"/>
  <c r="Q16" i="18"/>
  <c r="Q28" i="18"/>
  <c r="Q40" i="18"/>
  <c r="Q52" i="18"/>
  <c r="Q64" i="18"/>
  <c r="Q76" i="18"/>
  <c r="Q87" i="18"/>
  <c r="K143" i="18"/>
  <c r="O25" i="21"/>
  <c r="O94" i="21"/>
  <c r="Q49" i="21"/>
  <c r="O37" i="24"/>
  <c r="Q22" i="27"/>
  <c r="Q103" i="27"/>
  <c r="E83" i="33"/>
  <c r="E29" i="33"/>
  <c r="Q59" i="33"/>
  <c r="N142" i="18"/>
  <c r="M10" i="18"/>
  <c r="M142" i="18" s="1"/>
  <c r="Q15" i="18"/>
  <c r="Q27" i="18"/>
  <c r="Q39" i="18"/>
  <c r="Q51" i="18"/>
  <c r="Q63" i="18"/>
  <c r="Q75" i="18"/>
  <c r="Q24" i="21"/>
  <c r="Q12" i="24"/>
  <c r="Q24" i="24"/>
  <c r="O39" i="24"/>
  <c r="O93" i="24" s="1"/>
  <c r="Q81" i="24"/>
  <c r="Q21" i="27"/>
  <c r="Q33" i="27"/>
  <c r="Q103" i="30"/>
  <c r="Q193" i="15"/>
  <c r="O143" i="18"/>
  <c r="O244" i="18"/>
  <c r="Q14" i="18"/>
  <c r="Q26" i="18"/>
  <c r="Q38" i="18"/>
  <c r="Q50" i="18"/>
  <c r="Q62" i="18"/>
  <c r="Q74" i="18"/>
  <c r="Q86" i="18"/>
  <c r="M145" i="18"/>
  <c r="Q157" i="18"/>
  <c r="Q145" i="18" s="1"/>
  <c r="Q170" i="18"/>
  <c r="K145" i="18"/>
  <c r="K244" i="18" s="1"/>
  <c r="Q217" i="18"/>
  <c r="Q230" i="18"/>
  <c r="K27" i="21"/>
  <c r="K94" i="21" s="1"/>
  <c r="Q79" i="21"/>
  <c r="Q11" i="24"/>
  <c r="Q23" i="24"/>
  <c r="G115" i="27"/>
  <c r="G54" i="27"/>
  <c r="Q20" i="27"/>
  <c r="Q32" i="27"/>
  <c r="Q13" i="18"/>
  <c r="Q25" i="18"/>
  <c r="Q37" i="18"/>
  <c r="Q49" i="18"/>
  <c r="Q61" i="18"/>
  <c r="Q73" i="18"/>
  <c r="Q85" i="18"/>
  <c r="Q178" i="18"/>
  <c r="Q51" i="21"/>
  <c r="E10" i="24"/>
  <c r="E36" i="24" s="1"/>
  <c r="Q22" i="24"/>
  <c r="M93" i="24"/>
  <c r="Q75" i="24"/>
  <c r="Q39" i="24" s="1"/>
  <c r="H98" i="24"/>
  <c r="H94" i="24"/>
  <c r="Q12" i="18"/>
  <c r="Q24" i="18"/>
  <c r="Q36" i="18"/>
  <c r="Q48" i="18"/>
  <c r="Q60" i="18"/>
  <c r="Q72" i="18"/>
  <c r="Q84" i="18"/>
  <c r="Q185" i="18"/>
  <c r="D94" i="21"/>
  <c r="D25" i="21"/>
  <c r="Q73" i="21"/>
  <c r="F10" i="24"/>
  <c r="F36" i="24" s="1"/>
  <c r="Q21" i="24"/>
  <c r="N93" i="24"/>
  <c r="N37" i="24"/>
  <c r="F39" i="24"/>
  <c r="D10" i="24"/>
  <c r="D36" i="24" s="1"/>
  <c r="Q68" i="27"/>
  <c r="Q100" i="27"/>
  <c r="Q12" i="30"/>
  <c r="Q24" i="30"/>
  <c r="Q36" i="30"/>
  <c r="Q48" i="30"/>
  <c r="Q124" i="30"/>
  <c r="Q138" i="30"/>
  <c r="Q13" i="33"/>
  <c r="Q64" i="33"/>
  <c r="Q78" i="33"/>
  <c r="K83" i="33"/>
  <c r="Q15" i="36"/>
  <c r="N31" i="39"/>
  <c r="H56" i="27"/>
  <c r="H115" i="27" s="1"/>
  <c r="Q94" i="27"/>
  <c r="Q107" i="27"/>
  <c r="Q11" i="30"/>
  <c r="Q23" i="30"/>
  <c r="Q35" i="30"/>
  <c r="Q47" i="30"/>
  <c r="Q90" i="30"/>
  <c r="Q110" i="30"/>
  <c r="Q117" i="30"/>
  <c r="Q12" i="33"/>
  <c r="N88" i="33"/>
  <c r="N84" i="33"/>
  <c r="Q57" i="33"/>
  <c r="Q14" i="36"/>
  <c r="O27" i="36"/>
  <c r="O123" i="36"/>
  <c r="K121" i="39"/>
  <c r="K31" i="39"/>
  <c r="Q61" i="42"/>
  <c r="D56" i="27"/>
  <c r="Q57" i="27"/>
  <c r="Q88" i="27"/>
  <c r="E163" i="30"/>
  <c r="Q22" i="30"/>
  <c r="Q34" i="30"/>
  <c r="Q46" i="30"/>
  <c r="D79" i="30"/>
  <c r="L79" i="30"/>
  <c r="L163" i="30" s="1"/>
  <c r="H79" i="30"/>
  <c r="H163" i="30" s="1"/>
  <c r="Q11" i="33"/>
  <c r="Q13" i="36"/>
  <c r="Q10" i="36" s="1"/>
  <c r="Q26" i="36" s="1"/>
  <c r="J31" i="39"/>
  <c r="D10" i="27"/>
  <c r="D53" i="27" s="1"/>
  <c r="G76" i="30"/>
  <c r="Q19" i="30"/>
  <c r="Q31" i="30"/>
  <c r="Q43" i="30"/>
  <c r="Q105" i="30"/>
  <c r="Q134" i="30"/>
  <c r="Q141" i="30"/>
  <c r="F28" i="33"/>
  <c r="Q20" i="33"/>
  <c r="L83" i="33"/>
  <c r="F10" i="36"/>
  <c r="F26" i="36" s="1"/>
  <c r="H25" i="42"/>
  <c r="Q110" i="27"/>
  <c r="I10" i="30"/>
  <c r="I76" i="30" s="1"/>
  <c r="Q80" i="30"/>
  <c r="G83" i="33"/>
  <c r="G29" i="33"/>
  <c r="H29" i="33"/>
  <c r="H83" i="33"/>
  <c r="Q19" i="33"/>
  <c r="M83" i="33"/>
  <c r="M29" i="33"/>
  <c r="G31" i="33"/>
  <c r="O31" i="33"/>
  <c r="O83" i="33" s="1"/>
  <c r="F115" i="27"/>
  <c r="I115" i="27"/>
  <c r="I54" i="27"/>
  <c r="K77" i="30"/>
  <c r="J76" i="30"/>
  <c r="J79" i="30"/>
  <c r="J83" i="33"/>
  <c r="J29" i="33"/>
  <c r="I83" i="33"/>
  <c r="I29" i="33"/>
  <c r="E27" i="36"/>
  <c r="H123" i="36"/>
  <c r="H27" i="36"/>
  <c r="D39" i="24"/>
  <c r="J56" i="27"/>
  <c r="J115" i="27" s="1"/>
  <c r="Q113" i="27"/>
  <c r="Q16" i="30"/>
  <c r="Q28" i="30"/>
  <c r="Q40" i="30"/>
  <c r="K79" i="30"/>
  <c r="K163" i="30" s="1"/>
  <c r="Q107" i="30"/>
  <c r="Q17" i="33"/>
  <c r="G123" i="36"/>
  <c r="G27" i="36"/>
  <c r="I27" i="36"/>
  <c r="Q19" i="36"/>
  <c r="Q114" i="36"/>
  <c r="K56" i="27"/>
  <c r="K115" i="27" s="1"/>
  <c r="M77" i="30"/>
  <c r="M163" i="30"/>
  <c r="Q122" i="30"/>
  <c r="L114" i="42"/>
  <c r="L25" i="42"/>
  <c r="N163" i="30"/>
  <c r="N77" i="30"/>
  <c r="Q14" i="30"/>
  <c r="Q26" i="30"/>
  <c r="Q38" i="30"/>
  <c r="Q130" i="30"/>
  <c r="K27" i="36"/>
  <c r="K123" i="36"/>
  <c r="Q86" i="27"/>
  <c r="O163" i="30"/>
  <c r="O77" i="30"/>
  <c r="Q13" i="30"/>
  <c r="Q25" i="30"/>
  <c r="Q37" i="30"/>
  <c r="Q50" i="30"/>
  <c r="Q158" i="30"/>
  <c r="L27" i="36"/>
  <c r="D10" i="33"/>
  <c r="D28" i="33" s="1"/>
  <c r="Q56" i="36"/>
  <c r="Q20" i="39"/>
  <c r="F10" i="42"/>
  <c r="F24" i="42" s="1"/>
  <c r="Q51" i="42"/>
  <c r="Q65" i="42"/>
  <c r="K119" i="42"/>
  <c r="G21" i="54"/>
  <c r="G15" i="54"/>
  <c r="K15" i="56"/>
  <c r="G15" i="58"/>
  <c r="G74" i="58"/>
  <c r="M123" i="36"/>
  <c r="H29" i="36"/>
  <c r="Q64" i="36"/>
  <c r="Q118" i="36"/>
  <c r="F121" i="39"/>
  <c r="F31" i="39"/>
  <c r="H10" i="39"/>
  <c r="H30" i="39" s="1"/>
  <c r="Q19" i="39"/>
  <c r="E31" i="39"/>
  <c r="Q59" i="45"/>
  <c r="G50" i="51"/>
  <c r="O110" i="51"/>
  <c r="O106" i="51"/>
  <c r="I29" i="36"/>
  <c r="I123" i="36" s="1"/>
  <c r="Q112" i="36"/>
  <c r="D123" i="36"/>
  <c r="G121" i="39"/>
  <c r="G31" i="39"/>
  <c r="I10" i="39"/>
  <c r="I30" i="39" s="1"/>
  <c r="Q74" i="39"/>
  <c r="Q116" i="39"/>
  <c r="D25" i="42"/>
  <c r="N27" i="42"/>
  <c r="Q80" i="36"/>
  <c r="Q16" i="39"/>
  <c r="O121" i="39"/>
  <c r="Q27" i="42"/>
  <c r="N105" i="45"/>
  <c r="N101" i="45"/>
  <c r="E26" i="54"/>
  <c r="E22" i="54"/>
  <c r="D15" i="56"/>
  <c r="Q15" i="56"/>
  <c r="O74" i="56"/>
  <c r="O15" i="56"/>
  <c r="Q45" i="56"/>
  <c r="Q52" i="36"/>
  <c r="Q29" i="36" s="1"/>
  <c r="Q94" i="36"/>
  <c r="L30" i="39"/>
  <c r="G33" i="39"/>
  <c r="I33" i="39"/>
  <c r="Q76" i="39"/>
  <c r="Q17" i="42"/>
  <c r="G25" i="42"/>
  <c r="G114" i="42"/>
  <c r="F27" i="42"/>
  <c r="Q75" i="42"/>
  <c r="G69" i="48"/>
  <c r="G17" i="48"/>
  <c r="E48" i="51"/>
  <c r="G105" i="51"/>
  <c r="G48" i="51"/>
  <c r="D32" i="54"/>
  <c r="D33" i="54" s="1"/>
  <c r="D27" i="54"/>
  <c r="Q26" i="54"/>
  <c r="Q22" i="54"/>
  <c r="D22" i="54"/>
  <c r="M52" i="61"/>
  <c r="M15" i="61"/>
  <c r="L52" i="61"/>
  <c r="L15" i="61"/>
  <c r="Q42" i="33"/>
  <c r="Q31" i="33" s="1"/>
  <c r="E29" i="36"/>
  <c r="E123" i="36" s="1"/>
  <c r="Q74" i="36"/>
  <c r="Q88" i="36"/>
  <c r="Q69" i="39"/>
  <c r="J114" i="42"/>
  <c r="J25" i="42"/>
  <c r="Q89" i="42"/>
  <c r="F15" i="56"/>
  <c r="F74" i="56"/>
  <c r="N29" i="36"/>
  <c r="N123" i="36" s="1"/>
  <c r="Q13" i="39"/>
  <c r="N33" i="39"/>
  <c r="N121" i="39" s="1"/>
  <c r="M114" i="42"/>
  <c r="I25" i="42"/>
  <c r="I114" i="42"/>
  <c r="Q69" i="42"/>
  <c r="D100" i="45"/>
  <c r="D22" i="45"/>
  <c r="H10" i="45"/>
  <c r="H21" i="45" s="1"/>
  <c r="Q11" i="45"/>
  <c r="Q10" i="45" s="1"/>
  <c r="Q21" i="45" s="1"/>
  <c r="J24" i="45"/>
  <c r="Q47" i="45"/>
  <c r="I105" i="51"/>
  <c r="I48" i="51"/>
  <c r="J48" i="51"/>
  <c r="H35" i="55"/>
  <c r="H31" i="55"/>
  <c r="J27" i="36"/>
  <c r="L29" i="36"/>
  <c r="L123" i="36" s="1"/>
  <c r="Q68" i="36"/>
  <c r="J124" i="36"/>
  <c r="Q12" i="39"/>
  <c r="J33" i="39"/>
  <c r="J121" i="39" s="1"/>
  <c r="Q78" i="39"/>
  <c r="Q112" i="39"/>
  <c r="O25" i="42"/>
  <c r="O114" i="42"/>
  <c r="H27" i="42"/>
  <c r="H114" i="42" s="1"/>
  <c r="E22" i="45"/>
  <c r="O30" i="55"/>
  <c r="O15" i="55"/>
  <c r="Q76" i="36"/>
  <c r="Q109" i="36"/>
  <c r="J132" i="36"/>
  <c r="J133" i="36" s="1"/>
  <c r="Q11" i="39"/>
  <c r="D10" i="39"/>
  <c r="D30" i="39" s="1"/>
  <c r="Q23" i="39"/>
  <c r="K33" i="39"/>
  <c r="Q44" i="39"/>
  <c r="Q33" i="39" s="1"/>
  <c r="Q57" i="39"/>
  <c r="N114" i="42"/>
  <c r="N25" i="42"/>
  <c r="Q63" i="42"/>
  <c r="J100" i="45"/>
  <c r="J22" i="45"/>
  <c r="Q62" i="36"/>
  <c r="Q97" i="36"/>
  <c r="Q22" i="39"/>
  <c r="E33" i="39"/>
  <c r="E121" i="39" s="1"/>
  <c r="Q12" i="42"/>
  <c r="K25" i="42"/>
  <c r="Q71" i="42"/>
  <c r="Q112" i="42"/>
  <c r="I21" i="45"/>
  <c r="D10" i="30"/>
  <c r="D76" i="30" s="1"/>
  <c r="M27" i="36"/>
  <c r="Q70" i="36"/>
  <c r="Q21" i="39"/>
  <c r="Q72" i="39"/>
  <c r="Q80" i="39"/>
  <c r="Q87" i="39"/>
  <c r="Q114" i="39"/>
  <c r="E25" i="42"/>
  <c r="E114" i="42"/>
  <c r="M25" i="42"/>
  <c r="Q38" i="42"/>
  <c r="M100" i="45"/>
  <c r="M22" i="45"/>
  <c r="L22" i="45"/>
  <c r="L100" i="45"/>
  <c r="Q55" i="39"/>
  <c r="D48" i="51"/>
  <c r="F105" i="51"/>
  <c r="F48" i="51"/>
  <c r="Q93" i="51"/>
  <c r="N21" i="54"/>
  <c r="N15" i="54"/>
  <c r="L30" i="55"/>
  <c r="L15" i="55"/>
  <c r="Q43" i="56"/>
  <c r="Q51" i="56"/>
  <c r="K15" i="57"/>
  <c r="F79" i="58"/>
  <c r="F75" i="58"/>
  <c r="G100" i="45"/>
  <c r="I24" i="45"/>
  <c r="Q67" i="45"/>
  <c r="F69" i="48"/>
  <c r="H10" i="48"/>
  <c r="H16" i="48" s="1"/>
  <c r="L19" i="48"/>
  <c r="L69" i="48" s="1"/>
  <c r="N19" i="48"/>
  <c r="H105" i="51"/>
  <c r="N50" i="51"/>
  <c r="N105" i="51" s="1"/>
  <c r="D17" i="56"/>
  <c r="D74" i="56" s="1"/>
  <c r="Q28" i="57"/>
  <c r="I15" i="58"/>
  <c r="I74" i="58"/>
  <c r="G22" i="45"/>
  <c r="Q61" i="45"/>
  <c r="J16" i="48"/>
  <c r="Q31" i="48"/>
  <c r="Q51" i="48"/>
  <c r="Q67" i="48"/>
  <c r="K48" i="51"/>
  <c r="J50" i="51"/>
  <c r="J105" i="51" s="1"/>
  <c r="Q73" i="51"/>
  <c r="Q81" i="51"/>
  <c r="E50" i="51"/>
  <c r="E105" i="51" s="1"/>
  <c r="O22" i="54"/>
  <c r="H74" i="56"/>
  <c r="F17" i="56"/>
  <c r="K17" i="48"/>
  <c r="K69" i="48"/>
  <c r="O19" i="48"/>
  <c r="O69" i="48" s="1"/>
  <c r="M48" i="51"/>
  <c r="M105" i="51"/>
  <c r="K50" i="51"/>
  <c r="K105" i="51" s="1"/>
  <c r="F26" i="54"/>
  <c r="F22" i="54"/>
  <c r="L17" i="55"/>
  <c r="J74" i="56"/>
  <c r="G17" i="56"/>
  <c r="G74" i="56" s="1"/>
  <c r="Q69" i="56"/>
  <c r="E74" i="56"/>
  <c r="M24" i="45"/>
  <c r="Q36" i="45"/>
  <c r="Q55" i="45"/>
  <c r="M17" i="48"/>
  <c r="M69" i="48"/>
  <c r="L17" i="48"/>
  <c r="Q20" i="48"/>
  <c r="I19" i="48"/>
  <c r="I69" i="48" s="1"/>
  <c r="L48" i="51"/>
  <c r="L105" i="51"/>
  <c r="H14" i="54"/>
  <c r="F14" i="55"/>
  <c r="I74" i="56"/>
  <c r="Q39" i="56"/>
  <c r="Q47" i="56"/>
  <c r="K17" i="59"/>
  <c r="D27" i="42"/>
  <c r="D114" i="42" s="1"/>
  <c r="F100" i="45"/>
  <c r="F22" i="45"/>
  <c r="Q63" i="45"/>
  <c r="N17" i="48"/>
  <c r="N69" i="48"/>
  <c r="Q53" i="48"/>
  <c r="Q62" i="51"/>
  <c r="Q75" i="51"/>
  <c r="I21" i="54"/>
  <c r="I15" i="54"/>
  <c r="J22" i="54"/>
  <c r="J26" i="54"/>
  <c r="G15" i="55"/>
  <c r="G30" i="55"/>
  <c r="E15" i="55"/>
  <c r="E30" i="55"/>
  <c r="Q24" i="55"/>
  <c r="N17" i="56"/>
  <c r="N74" i="56" s="1"/>
  <c r="D73" i="57"/>
  <c r="D69" i="57"/>
  <c r="N15" i="58"/>
  <c r="M15" i="58"/>
  <c r="G15" i="60"/>
  <c r="G56" i="60"/>
  <c r="M15" i="63"/>
  <c r="O21" i="45"/>
  <c r="Q49" i="45"/>
  <c r="O17" i="48"/>
  <c r="Q46" i="48"/>
  <c r="Q61" i="48"/>
  <c r="Q48" i="51"/>
  <c r="O27" i="54"/>
  <c r="O32" i="54" s="1"/>
  <c r="O33" i="54" s="1"/>
  <c r="J17" i="56"/>
  <c r="J64" i="59"/>
  <c r="J15" i="59"/>
  <c r="I15" i="59"/>
  <c r="Q11" i="42"/>
  <c r="Q10" i="42" s="1"/>
  <c r="Q24" i="42" s="1"/>
  <c r="Q25" i="45"/>
  <c r="Q57" i="45"/>
  <c r="Q12" i="48"/>
  <c r="Q91" i="51"/>
  <c r="Q98" i="51"/>
  <c r="M35" i="55"/>
  <c r="M31" i="55"/>
  <c r="Q17" i="55"/>
  <c r="Q30" i="55" s="1"/>
  <c r="L14" i="56"/>
  <c r="K17" i="56"/>
  <c r="K74" i="56" s="1"/>
  <c r="Q28" i="56"/>
  <c r="Q41" i="56"/>
  <c r="K64" i="59"/>
  <c r="K15" i="59"/>
  <c r="E24" i="45"/>
  <c r="E100" i="45" s="1"/>
  <c r="Q11" i="48"/>
  <c r="Q10" i="48" s="1"/>
  <c r="Q16" i="48" s="1"/>
  <c r="H19" i="48"/>
  <c r="J19" i="48"/>
  <c r="Q55" i="48"/>
  <c r="D50" i="51"/>
  <c r="D105" i="51" s="1"/>
  <c r="L21" i="54"/>
  <c r="L15" i="54"/>
  <c r="K21" i="54"/>
  <c r="K15" i="54"/>
  <c r="J15" i="55"/>
  <c r="J30" i="55"/>
  <c r="N31" i="55"/>
  <c r="N35" i="55"/>
  <c r="I30" i="55"/>
  <c r="M74" i="56"/>
  <c r="M15" i="56"/>
  <c r="H68" i="57"/>
  <c r="H15" i="57"/>
  <c r="I68" i="57"/>
  <c r="I15" i="57"/>
  <c r="I52" i="61"/>
  <c r="I15" i="61"/>
  <c r="Q51" i="45"/>
  <c r="K100" i="45"/>
  <c r="E69" i="48"/>
  <c r="E17" i="48"/>
  <c r="Q48" i="48"/>
  <c r="M15" i="54"/>
  <c r="M21" i="54"/>
  <c r="K15" i="55"/>
  <c r="K30" i="55"/>
  <c r="Q28" i="55"/>
  <c r="E73" i="57"/>
  <c r="E69" i="57"/>
  <c r="D69" i="59"/>
  <c r="D65" i="59"/>
  <c r="Q56" i="57"/>
  <c r="Q63" i="57"/>
  <c r="L15" i="58"/>
  <c r="L74" i="58"/>
  <c r="Q44" i="58"/>
  <c r="Q52" i="58"/>
  <c r="H17" i="59"/>
  <c r="H64" i="59" s="1"/>
  <c r="H17" i="60"/>
  <c r="E52" i="61"/>
  <c r="D100" i="62"/>
  <c r="K56" i="63"/>
  <c r="K15" i="63"/>
  <c r="Q51" i="51"/>
  <c r="Q18" i="56"/>
  <c r="Q55" i="56"/>
  <c r="Q18" i="57"/>
  <c r="J15" i="58"/>
  <c r="G69" i="59"/>
  <c r="G65" i="59"/>
  <c r="N15" i="60"/>
  <c r="N56" i="60"/>
  <c r="M15" i="60"/>
  <c r="M56" i="60"/>
  <c r="J52" i="61"/>
  <c r="J15" i="61"/>
  <c r="K17" i="61"/>
  <c r="K52" i="61" s="1"/>
  <c r="Q16" i="62"/>
  <c r="H48" i="51"/>
  <c r="N15" i="55"/>
  <c r="H15" i="56"/>
  <c r="Q49" i="56"/>
  <c r="Q50" i="57"/>
  <c r="Q66" i="57"/>
  <c r="G68" i="57"/>
  <c r="N64" i="59"/>
  <c r="O15" i="60"/>
  <c r="O56" i="60"/>
  <c r="G17" i="60"/>
  <c r="K15" i="61"/>
  <c r="H15" i="61"/>
  <c r="Q28" i="61"/>
  <c r="Q41" i="61"/>
  <c r="E16" i="62"/>
  <c r="E100" i="62"/>
  <c r="N89" i="64"/>
  <c r="N34" i="64"/>
  <c r="H48" i="70"/>
  <c r="H105" i="70"/>
  <c r="D17" i="55"/>
  <c r="D30" i="55" s="1"/>
  <c r="L14" i="57"/>
  <c r="Q59" i="57"/>
  <c r="O15" i="58"/>
  <c r="O74" i="58"/>
  <c r="K15" i="58"/>
  <c r="E56" i="60"/>
  <c r="N52" i="61"/>
  <c r="N15" i="61"/>
  <c r="O17" i="61"/>
  <c r="O52" i="61" s="1"/>
  <c r="Q43" i="61"/>
  <c r="J18" i="62"/>
  <c r="Q58" i="56"/>
  <c r="M15" i="57"/>
  <c r="N68" i="57"/>
  <c r="D17" i="58"/>
  <c r="D74" i="58" s="1"/>
  <c r="Q40" i="58"/>
  <c r="J17" i="58"/>
  <c r="J74" i="58" s="1"/>
  <c r="Q48" i="58"/>
  <c r="Q69" i="58"/>
  <c r="M64" i="59"/>
  <c r="M15" i="59"/>
  <c r="L64" i="59"/>
  <c r="L15" i="59"/>
  <c r="Q29" i="59"/>
  <c r="L17" i="59"/>
  <c r="F17" i="60"/>
  <c r="F56" i="60" s="1"/>
  <c r="Q54" i="60"/>
  <c r="Q18" i="61"/>
  <c r="Q17" i="61" s="1"/>
  <c r="Q52" i="61" s="1"/>
  <c r="Q74" i="64"/>
  <c r="J17" i="65"/>
  <c r="I17" i="65"/>
  <c r="I64" i="65"/>
  <c r="M53" i="66"/>
  <c r="O68" i="57"/>
  <c r="J17" i="57"/>
  <c r="J68" i="57" s="1"/>
  <c r="Q39" i="57"/>
  <c r="K17" i="58"/>
  <c r="K74" i="58" s="1"/>
  <c r="Q56" i="58"/>
  <c r="H15" i="60"/>
  <c r="H56" i="60"/>
  <c r="Q78" i="62"/>
  <c r="E89" i="64"/>
  <c r="E34" i="64"/>
  <c r="J15" i="54"/>
  <c r="N15" i="56"/>
  <c r="K17" i="57"/>
  <c r="K68" i="57" s="1"/>
  <c r="E74" i="58"/>
  <c r="M17" i="58"/>
  <c r="M74" i="58" s="1"/>
  <c r="Q18" i="59"/>
  <c r="Q17" i="59" s="1"/>
  <c r="Q64" i="59" s="1"/>
  <c r="I17" i="59"/>
  <c r="I64" i="59" s="1"/>
  <c r="Q50" i="59"/>
  <c r="Q57" i="59"/>
  <c r="I15" i="60"/>
  <c r="Q39" i="60"/>
  <c r="Q45" i="61"/>
  <c r="K16" i="62"/>
  <c r="K100" i="62"/>
  <c r="Q57" i="62"/>
  <c r="L56" i="63"/>
  <c r="L17" i="57"/>
  <c r="Q54" i="57"/>
  <c r="N17" i="58"/>
  <c r="N74" i="58" s="1"/>
  <c r="Q42" i="58"/>
  <c r="Q50" i="58"/>
  <c r="O64" i="59"/>
  <c r="O15" i="59"/>
  <c r="E17" i="59"/>
  <c r="E64" i="59" s="1"/>
  <c r="E15" i="60"/>
  <c r="I17" i="60"/>
  <c r="I56" i="60" s="1"/>
  <c r="G15" i="63"/>
  <c r="D10" i="48"/>
  <c r="D16" i="48" s="1"/>
  <c r="Q67" i="56"/>
  <c r="M17" i="57"/>
  <c r="M68" i="57" s="1"/>
  <c r="Q41" i="57"/>
  <c r="H14" i="58"/>
  <c r="O17" i="58"/>
  <c r="Q44" i="59"/>
  <c r="K15" i="60"/>
  <c r="K56" i="60"/>
  <c r="J15" i="60"/>
  <c r="J56" i="60"/>
  <c r="H57" i="61"/>
  <c r="H53" i="61"/>
  <c r="Q61" i="56"/>
  <c r="F14" i="57"/>
  <c r="Q48" i="57"/>
  <c r="Q18" i="58"/>
  <c r="Q52" i="59"/>
  <c r="Q59" i="59"/>
  <c r="L15" i="60"/>
  <c r="L56" i="60"/>
  <c r="Q28" i="60"/>
  <c r="Q17" i="60" s="1"/>
  <c r="Q56" i="60" s="1"/>
  <c r="G52" i="61"/>
  <c r="Q47" i="61"/>
  <c r="D52" i="61"/>
  <c r="K89" i="64"/>
  <c r="K34" i="64"/>
  <c r="J34" i="64"/>
  <c r="J15" i="63"/>
  <c r="J56" i="63"/>
  <c r="M89" i="64"/>
  <c r="M34" i="64"/>
  <c r="H10" i="65"/>
  <c r="H16" i="65" s="1"/>
  <c r="Q11" i="65"/>
  <c r="Q10" i="65" s="1"/>
  <c r="Q16" i="65" s="1"/>
  <c r="K114" i="66"/>
  <c r="Q20" i="66"/>
  <c r="Q32" i="66"/>
  <c r="G81" i="69"/>
  <c r="G27" i="69"/>
  <c r="Q18" i="69"/>
  <c r="F64" i="59"/>
  <c r="F52" i="61"/>
  <c r="Q41" i="62"/>
  <c r="Q55" i="62"/>
  <c r="M17" i="63"/>
  <c r="M56" i="63" s="1"/>
  <c r="Q39" i="63"/>
  <c r="Q47" i="63"/>
  <c r="O89" i="64"/>
  <c r="O34" i="64"/>
  <c r="K17" i="65"/>
  <c r="N53" i="66"/>
  <c r="Q83" i="66"/>
  <c r="I20" i="67"/>
  <c r="I17" i="63"/>
  <c r="Q11" i="64"/>
  <c r="Q10" i="64" s="1"/>
  <c r="Q33" i="64" s="1"/>
  <c r="L36" i="64"/>
  <c r="L89" i="64" s="1"/>
  <c r="Q61" i="64"/>
  <c r="F19" i="65"/>
  <c r="F64" i="65" s="1"/>
  <c r="O53" i="66"/>
  <c r="Q17" i="66"/>
  <c r="Q29" i="66"/>
  <c r="Q112" i="66"/>
  <c r="Q138" i="68"/>
  <c r="H100" i="62"/>
  <c r="H16" i="62"/>
  <c r="F100" i="62"/>
  <c r="F18" i="62"/>
  <c r="N15" i="63"/>
  <c r="J19" i="65"/>
  <c r="J64" i="65" s="1"/>
  <c r="G19" i="65"/>
  <c r="Q44" i="65"/>
  <c r="Q59" i="65"/>
  <c r="Q16" i="66"/>
  <c r="Q28" i="66"/>
  <c r="L114" i="66"/>
  <c r="H55" i="66"/>
  <c r="Q99" i="66"/>
  <c r="Q106" i="66"/>
  <c r="M20" i="67"/>
  <c r="M57" i="67"/>
  <c r="N76" i="68"/>
  <c r="I15" i="62"/>
  <c r="G16" i="62"/>
  <c r="N18" i="62"/>
  <c r="G18" i="62"/>
  <c r="G100" i="62" s="1"/>
  <c r="Q43" i="62"/>
  <c r="O15" i="63"/>
  <c r="O56" i="63"/>
  <c r="Q28" i="63"/>
  <c r="Q17" i="63" s="1"/>
  <c r="Q56" i="63" s="1"/>
  <c r="Q41" i="63"/>
  <c r="Q49" i="63"/>
  <c r="D33" i="64"/>
  <c r="N17" i="65"/>
  <c r="K19" i="65"/>
  <c r="K64" i="65" s="1"/>
  <c r="G64" i="65"/>
  <c r="Q85" i="66"/>
  <c r="J15" i="62"/>
  <c r="O18" i="62"/>
  <c r="D15" i="63"/>
  <c r="D56" i="63"/>
  <c r="Q15" i="63"/>
  <c r="J36" i="64"/>
  <c r="J89" i="64" s="1"/>
  <c r="Q63" i="64"/>
  <c r="Q77" i="64"/>
  <c r="Q84" i="64"/>
  <c r="O17" i="65"/>
  <c r="O64" i="65"/>
  <c r="N19" i="65"/>
  <c r="N64" i="65" s="1"/>
  <c r="Q53" i="65"/>
  <c r="E65" i="65"/>
  <c r="Q14" i="66"/>
  <c r="Q26" i="66"/>
  <c r="Q78" i="66"/>
  <c r="N15" i="59"/>
  <c r="Q19" i="62"/>
  <c r="Q65" i="62"/>
  <c r="E61" i="63"/>
  <c r="E57" i="63"/>
  <c r="Q36" i="64"/>
  <c r="K36" i="64"/>
  <c r="Q71" i="64"/>
  <c r="G89" i="64"/>
  <c r="O19" i="65"/>
  <c r="Q46" i="65"/>
  <c r="D114" i="66"/>
  <c r="D53" i="66"/>
  <c r="K53" i="66"/>
  <c r="H20" i="67"/>
  <c r="O146" i="68"/>
  <c r="O76" i="68"/>
  <c r="F10" i="69"/>
  <c r="F26" i="69" s="1"/>
  <c r="O15" i="61"/>
  <c r="M16" i="62"/>
  <c r="Q92" i="62"/>
  <c r="F56" i="63"/>
  <c r="N17" i="63"/>
  <c r="N56" i="63" s="1"/>
  <c r="G17" i="63"/>
  <c r="G56" i="63" s="1"/>
  <c r="Q43" i="63"/>
  <c r="Q51" i="63"/>
  <c r="O36" i="64"/>
  <c r="Q20" i="65"/>
  <c r="Q19" i="65" s="1"/>
  <c r="E114" i="66"/>
  <c r="E53" i="66"/>
  <c r="F55" i="66"/>
  <c r="F114" i="66" s="1"/>
  <c r="Q87" i="66"/>
  <c r="Q59" i="62"/>
  <c r="O17" i="63"/>
  <c r="H34" i="64"/>
  <c r="H89" i="64"/>
  <c r="F36" i="64"/>
  <c r="F89" i="64" s="1"/>
  <c r="Q57" i="64"/>
  <c r="Q87" i="64"/>
  <c r="D17" i="65"/>
  <c r="D64" i="65"/>
  <c r="H10" i="66"/>
  <c r="H52" i="66" s="1"/>
  <c r="Q11" i="66"/>
  <c r="Q23" i="66"/>
  <c r="M55" i="66"/>
  <c r="M114" i="66" s="1"/>
  <c r="Q67" i="66"/>
  <c r="Q55" i="66" s="1"/>
  <c r="G55" i="66"/>
  <c r="G114" i="66" s="1"/>
  <c r="Q80" i="66"/>
  <c r="Q95" i="66"/>
  <c r="Q102" i="66"/>
  <c r="Q106" i="68"/>
  <c r="K66" i="72"/>
  <c r="K18" i="72"/>
  <c r="D56" i="60"/>
  <c r="N100" i="62"/>
  <c r="N16" i="62"/>
  <c r="F16" i="62"/>
  <c r="L18" i="62"/>
  <c r="L100" i="62" s="1"/>
  <c r="Q46" i="62"/>
  <c r="Q67" i="62"/>
  <c r="Q80" i="62"/>
  <c r="H15" i="63"/>
  <c r="H56" i="63"/>
  <c r="I94" i="64"/>
  <c r="I90" i="64"/>
  <c r="E73" i="65"/>
  <c r="E74" i="65" s="1"/>
  <c r="E70" i="65"/>
  <c r="Q48" i="65"/>
  <c r="I10" i="66"/>
  <c r="I52" i="66" s="1"/>
  <c r="Q22" i="66"/>
  <c r="N55" i="66"/>
  <c r="N114" i="66" s="1"/>
  <c r="Q12" i="68"/>
  <c r="Q24" i="68"/>
  <c r="Q36" i="68"/>
  <c r="O15" i="62"/>
  <c r="M18" i="62"/>
  <c r="M100" i="62" s="1"/>
  <c r="Q53" i="62"/>
  <c r="Q74" i="62"/>
  <c r="I15" i="63"/>
  <c r="I56" i="63"/>
  <c r="Q45" i="63"/>
  <c r="Q54" i="63"/>
  <c r="L34" i="64"/>
  <c r="L69" i="65"/>
  <c r="L65" i="65"/>
  <c r="J52" i="66"/>
  <c r="Q21" i="66"/>
  <c r="O55" i="66"/>
  <c r="O114" i="66" s="1"/>
  <c r="G57" i="67"/>
  <c r="G20" i="67"/>
  <c r="F10" i="68"/>
  <c r="F75" i="68" s="1"/>
  <c r="Q11" i="68"/>
  <c r="J22" i="67"/>
  <c r="N22" i="67"/>
  <c r="N57" i="67" s="1"/>
  <c r="D146" i="68"/>
  <c r="D76" i="68"/>
  <c r="G10" i="68"/>
  <c r="G75" i="68" s="1"/>
  <c r="K27" i="69"/>
  <c r="I66" i="72"/>
  <c r="I18" i="72"/>
  <c r="Q12" i="67"/>
  <c r="K22" i="67"/>
  <c r="Q52" i="67"/>
  <c r="E76" i="68"/>
  <c r="Q21" i="68"/>
  <c r="Q33" i="68"/>
  <c r="Q45" i="68"/>
  <c r="H78" i="68"/>
  <c r="Q104" i="68"/>
  <c r="Q111" i="68"/>
  <c r="Q15" i="69"/>
  <c r="Q55" i="69"/>
  <c r="L66" i="72"/>
  <c r="L18" i="72"/>
  <c r="J66" i="72"/>
  <c r="J18" i="72"/>
  <c r="Q11" i="67"/>
  <c r="Q10" i="67" s="1"/>
  <c r="Q19" i="67" s="1"/>
  <c r="D10" i="67"/>
  <c r="D19" i="67" s="1"/>
  <c r="Q33" i="67"/>
  <c r="H75" i="68"/>
  <c r="Q20" i="68"/>
  <c r="Q32" i="68"/>
  <c r="Q44" i="68"/>
  <c r="Q79" i="68"/>
  <c r="I78" i="68"/>
  <c r="I146" i="68" s="1"/>
  <c r="Q119" i="68"/>
  <c r="Q140" i="68"/>
  <c r="Q14" i="69"/>
  <c r="Q30" i="69"/>
  <c r="Q29" i="69" s="1"/>
  <c r="E10" i="67"/>
  <c r="E19" i="67" s="1"/>
  <c r="Q46" i="67"/>
  <c r="Q55" i="67"/>
  <c r="Q19" i="68"/>
  <c r="Q31" i="68"/>
  <c r="Q43" i="68"/>
  <c r="E78" i="68"/>
  <c r="E146" i="68" s="1"/>
  <c r="F78" i="68"/>
  <c r="Q13" i="69"/>
  <c r="K19" i="71"/>
  <c r="K70" i="71"/>
  <c r="L19" i="71"/>
  <c r="E48" i="73"/>
  <c r="E22" i="73"/>
  <c r="F43" i="75"/>
  <c r="Q59" i="64"/>
  <c r="O57" i="67"/>
  <c r="O20" i="67"/>
  <c r="J76" i="68"/>
  <c r="Q18" i="68"/>
  <c r="Q30" i="68"/>
  <c r="Q42" i="68"/>
  <c r="I76" i="68"/>
  <c r="Q57" i="69"/>
  <c r="Q48" i="70"/>
  <c r="O48" i="70"/>
  <c r="M64" i="65"/>
  <c r="F19" i="67"/>
  <c r="K146" i="68"/>
  <c r="K76" i="68"/>
  <c r="L10" i="68"/>
  <c r="L75" i="68" s="1"/>
  <c r="Q17" i="68"/>
  <c r="Q29" i="68"/>
  <c r="Q41" i="68"/>
  <c r="D27" i="69"/>
  <c r="D81" i="69"/>
  <c r="F77" i="74"/>
  <c r="F17" i="74"/>
  <c r="G53" i="66"/>
  <c r="D22" i="67"/>
  <c r="Q23" i="67"/>
  <c r="Q22" i="67" s="1"/>
  <c r="H22" i="67"/>
  <c r="H57" i="67" s="1"/>
  <c r="Q48" i="67"/>
  <c r="M10" i="68"/>
  <c r="M75" i="68" s="1"/>
  <c r="Q16" i="68"/>
  <c r="Q28" i="68"/>
  <c r="Q40" i="68"/>
  <c r="Q114" i="68"/>
  <c r="E10" i="69"/>
  <c r="E26" i="69" s="1"/>
  <c r="Q22" i="69"/>
  <c r="L29" i="69"/>
  <c r="E22" i="67"/>
  <c r="I22" i="67"/>
  <c r="I57" i="67" s="1"/>
  <c r="Q15" i="68"/>
  <c r="Q27" i="68"/>
  <c r="Q39" i="68"/>
  <c r="N78" i="68"/>
  <c r="N146" i="68" s="1"/>
  <c r="Q144" i="68"/>
  <c r="Q21" i="69"/>
  <c r="Q51" i="69"/>
  <c r="Q59" i="69"/>
  <c r="Q66" i="69"/>
  <c r="J10" i="67"/>
  <c r="J19" i="67" s="1"/>
  <c r="Q48" i="68"/>
  <c r="J78" i="68"/>
  <c r="J146" i="68" s="1"/>
  <c r="O78" i="68"/>
  <c r="Q123" i="68"/>
  <c r="Q130" i="68"/>
  <c r="Q20" i="69"/>
  <c r="M50" i="70"/>
  <c r="Q79" i="70"/>
  <c r="I22" i="73"/>
  <c r="I48" i="73"/>
  <c r="J22" i="73"/>
  <c r="J48" i="73"/>
  <c r="L19" i="67"/>
  <c r="K10" i="67"/>
  <c r="K19" i="67" s="1"/>
  <c r="Q13" i="68"/>
  <c r="Q25" i="68"/>
  <c r="Q37" i="68"/>
  <c r="Q47" i="68"/>
  <c r="Q50" i="68"/>
  <c r="K78" i="68"/>
  <c r="Q89" i="68"/>
  <c r="H27" i="69"/>
  <c r="H81" i="69"/>
  <c r="Q19" i="69"/>
  <c r="I82" i="69"/>
  <c r="I86" i="69"/>
  <c r="I27" i="69"/>
  <c r="L22" i="73"/>
  <c r="L48" i="73"/>
  <c r="K22" i="73"/>
  <c r="K48" i="73"/>
  <c r="E29" i="69"/>
  <c r="Q74" i="69"/>
  <c r="J50" i="70"/>
  <c r="J105" i="70" s="1"/>
  <c r="Q93" i="70"/>
  <c r="N18" i="71"/>
  <c r="M10" i="71"/>
  <c r="M18" i="71" s="1"/>
  <c r="Q22" i="71"/>
  <c r="Q21" i="71" s="1"/>
  <c r="M66" i="72"/>
  <c r="M18" i="72"/>
  <c r="Q52" i="72"/>
  <c r="M22" i="73"/>
  <c r="M48" i="73"/>
  <c r="Q34" i="73"/>
  <c r="G77" i="74"/>
  <c r="L19" i="74"/>
  <c r="L77" i="74" s="1"/>
  <c r="G62" i="89"/>
  <c r="G58" i="89"/>
  <c r="Q68" i="69"/>
  <c r="Q100" i="70"/>
  <c r="O19" i="71"/>
  <c r="E19" i="71"/>
  <c r="E70" i="71"/>
  <c r="I21" i="71"/>
  <c r="Q56" i="71"/>
  <c r="Q45" i="72"/>
  <c r="Q59" i="72"/>
  <c r="Q14" i="73"/>
  <c r="Q17" i="74"/>
  <c r="D19" i="74"/>
  <c r="D77" i="74" s="1"/>
  <c r="Q20" i="74"/>
  <c r="Q72" i="74"/>
  <c r="L10" i="75"/>
  <c r="L42" i="75" s="1"/>
  <c r="D78" i="68"/>
  <c r="Q62" i="69"/>
  <c r="E105" i="70"/>
  <c r="L50" i="70"/>
  <c r="L105" i="70" s="1"/>
  <c r="Q12" i="71"/>
  <c r="Q49" i="71"/>
  <c r="O66" i="72"/>
  <c r="O18" i="72"/>
  <c r="K20" i="72"/>
  <c r="O48" i="73"/>
  <c r="Q13" i="73"/>
  <c r="E19" i="74"/>
  <c r="Q46" i="74"/>
  <c r="Q53" i="74"/>
  <c r="Q60" i="74"/>
  <c r="M77" i="74"/>
  <c r="N118" i="75"/>
  <c r="N43" i="75"/>
  <c r="Q127" i="68"/>
  <c r="L26" i="69"/>
  <c r="Q76" i="69"/>
  <c r="Q81" i="70"/>
  <c r="Q88" i="70"/>
  <c r="Q103" i="70"/>
  <c r="Q11" i="71"/>
  <c r="Q10" i="71" s="1"/>
  <c r="Q18" i="71" s="1"/>
  <c r="Q17" i="72"/>
  <c r="N20" i="72"/>
  <c r="N66" i="72" s="1"/>
  <c r="Q12" i="73"/>
  <c r="J17" i="74"/>
  <c r="J77" i="74"/>
  <c r="Q121" i="68"/>
  <c r="N27" i="69"/>
  <c r="D105" i="70"/>
  <c r="D48" i="70"/>
  <c r="G50" i="70"/>
  <c r="G105" i="70" s="1"/>
  <c r="F70" i="71"/>
  <c r="H21" i="71"/>
  <c r="H70" i="71" s="1"/>
  <c r="Q61" i="72"/>
  <c r="H66" i="72"/>
  <c r="Q11" i="73"/>
  <c r="Q10" i="73" s="1"/>
  <c r="Q21" i="73" s="1"/>
  <c r="M76" i="80"/>
  <c r="M17" i="80"/>
  <c r="J29" i="69"/>
  <c r="J81" i="69" s="1"/>
  <c r="I48" i="70"/>
  <c r="I105" i="70"/>
  <c r="F105" i="70"/>
  <c r="O50" i="70"/>
  <c r="O105" i="70" s="1"/>
  <c r="Q43" i="71"/>
  <c r="Q20" i="72"/>
  <c r="L17" i="74"/>
  <c r="I77" i="74"/>
  <c r="I17" i="74"/>
  <c r="H19" i="74"/>
  <c r="H77" i="74" s="1"/>
  <c r="F34" i="76"/>
  <c r="F30" i="76"/>
  <c r="Q19" i="77"/>
  <c r="O17" i="80"/>
  <c r="O76" i="80"/>
  <c r="K29" i="69"/>
  <c r="K81" i="69" s="1"/>
  <c r="Q79" i="69"/>
  <c r="G48" i="70"/>
  <c r="Q51" i="70"/>
  <c r="G70" i="71"/>
  <c r="I70" i="71"/>
  <c r="I19" i="71"/>
  <c r="Q59" i="71"/>
  <c r="D66" i="72"/>
  <c r="D18" i="72"/>
  <c r="F48" i="73"/>
  <c r="F22" i="73"/>
  <c r="E85" i="77"/>
  <c r="E19" i="77"/>
  <c r="J82" i="79"/>
  <c r="J15" i="79"/>
  <c r="Q11" i="69"/>
  <c r="O81" i="69"/>
  <c r="O27" i="69"/>
  <c r="Q40" i="69"/>
  <c r="L48" i="70"/>
  <c r="N48" i="70"/>
  <c r="N105" i="70"/>
  <c r="G19" i="71"/>
  <c r="K21" i="71"/>
  <c r="O21" i="71"/>
  <c r="O70" i="71" s="1"/>
  <c r="E66" i="72"/>
  <c r="E18" i="72"/>
  <c r="F66" i="72"/>
  <c r="F18" i="72"/>
  <c r="G18" i="72"/>
  <c r="Q41" i="72"/>
  <c r="Q49" i="72"/>
  <c r="N48" i="73"/>
  <c r="Q25" i="73"/>
  <c r="Q24" i="73" s="1"/>
  <c r="N16" i="74"/>
  <c r="H17" i="74"/>
  <c r="Q29" i="74"/>
  <c r="Q42" i="74"/>
  <c r="Q21" i="75"/>
  <c r="M29" i="69"/>
  <c r="M81" i="69" s="1"/>
  <c r="M105" i="70"/>
  <c r="K47" i="70"/>
  <c r="F50" i="70"/>
  <c r="Q77" i="70"/>
  <c r="Q84" i="70"/>
  <c r="H19" i="71"/>
  <c r="L21" i="71"/>
  <c r="L70" i="71" s="1"/>
  <c r="Q45" i="71"/>
  <c r="G20" i="72"/>
  <c r="G66" i="72" s="1"/>
  <c r="G48" i="73"/>
  <c r="G22" i="73"/>
  <c r="O17" i="74"/>
  <c r="O77" i="74"/>
  <c r="K19" i="74"/>
  <c r="K77" i="74" s="1"/>
  <c r="J43" i="75"/>
  <c r="J118" i="75"/>
  <c r="Q10" i="76"/>
  <c r="Q18" i="76" s="1"/>
  <c r="N29" i="69"/>
  <c r="N81" i="69" s="1"/>
  <c r="J70" i="71"/>
  <c r="J19" i="71"/>
  <c r="Q64" i="72"/>
  <c r="H48" i="73"/>
  <c r="H22" i="73"/>
  <c r="E19" i="76"/>
  <c r="E29" i="76"/>
  <c r="O90" i="77"/>
  <c r="O86" i="77"/>
  <c r="F19" i="71"/>
  <c r="N22" i="73"/>
  <c r="E10" i="75"/>
  <c r="E42" i="75" s="1"/>
  <c r="Q22" i="75"/>
  <c r="Q77" i="75"/>
  <c r="Q12" i="76"/>
  <c r="Q22" i="77"/>
  <c r="E37" i="78"/>
  <c r="E40" i="78" s="1"/>
  <c r="E41" i="78" s="1"/>
  <c r="H82" i="79"/>
  <c r="H15" i="79"/>
  <c r="D10" i="71"/>
  <c r="D18" i="71" s="1"/>
  <c r="D24" i="73"/>
  <c r="H10" i="75"/>
  <c r="H42" i="75" s="1"/>
  <c r="Q19" i="75"/>
  <c r="Q31" i="75"/>
  <c r="Q46" i="75"/>
  <c r="Q113" i="75"/>
  <c r="G21" i="77"/>
  <c r="G85" i="77" s="1"/>
  <c r="L57" i="89"/>
  <c r="L15" i="89"/>
  <c r="Q18" i="75"/>
  <c r="Q30" i="75"/>
  <c r="E45" i="75"/>
  <c r="G118" i="75"/>
  <c r="Q24" i="76"/>
  <c r="Q21" i="76" s="1"/>
  <c r="H21" i="77"/>
  <c r="Q78" i="77"/>
  <c r="N81" i="80"/>
  <c r="N77" i="80"/>
  <c r="K18" i="81"/>
  <c r="K65" i="81"/>
  <c r="J15" i="87"/>
  <c r="J29" i="87"/>
  <c r="D10" i="73"/>
  <c r="D21" i="73" s="1"/>
  <c r="Q17" i="75"/>
  <c r="Q29" i="75"/>
  <c r="F45" i="75"/>
  <c r="F118" i="75" s="1"/>
  <c r="Q87" i="75"/>
  <c r="H19" i="76"/>
  <c r="H21" i="76"/>
  <c r="H29" i="76" s="1"/>
  <c r="G29" i="76"/>
  <c r="Q31" i="77"/>
  <c r="Q15" i="78"/>
  <c r="Q20" i="78"/>
  <c r="N18" i="72"/>
  <c r="K10" i="75"/>
  <c r="K42" i="75" s="1"/>
  <c r="Q16" i="75"/>
  <c r="Q28" i="75"/>
  <c r="O118" i="75"/>
  <c r="O43" i="75"/>
  <c r="Q116" i="75"/>
  <c r="I10" i="76"/>
  <c r="I18" i="76" s="1"/>
  <c r="O19" i="76"/>
  <c r="I21" i="76"/>
  <c r="H10" i="77"/>
  <c r="H18" i="77" s="1"/>
  <c r="K31" i="78"/>
  <c r="K15" i="78"/>
  <c r="M19" i="84"/>
  <c r="M78" i="84"/>
  <c r="M118" i="75"/>
  <c r="Q15" i="75"/>
  <c r="D45" i="75"/>
  <c r="Q67" i="75"/>
  <c r="I45" i="75"/>
  <c r="I118" i="75" s="1"/>
  <c r="Q108" i="75"/>
  <c r="Q27" i="76"/>
  <c r="F85" i="77"/>
  <c r="F19" i="77"/>
  <c r="I85" i="77"/>
  <c r="I19" i="77"/>
  <c r="Q60" i="77"/>
  <c r="J20" i="82"/>
  <c r="J74" i="82"/>
  <c r="Q14" i="75"/>
  <c r="Q26" i="75"/>
  <c r="Q95" i="75"/>
  <c r="J19" i="76"/>
  <c r="J29" i="76"/>
  <c r="G19" i="77"/>
  <c r="Q53" i="77"/>
  <c r="K74" i="82"/>
  <c r="K20" i="82"/>
  <c r="Q13" i="75"/>
  <c r="Q25" i="75"/>
  <c r="M43" i="75"/>
  <c r="K19" i="76"/>
  <c r="K29" i="76"/>
  <c r="L19" i="76"/>
  <c r="L29" i="76"/>
  <c r="J85" i="77"/>
  <c r="J19" i="77"/>
  <c r="N85" i="77"/>
  <c r="N15" i="78"/>
  <c r="N31" i="78"/>
  <c r="E14" i="79"/>
  <c r="J24" i="83"/>
  <c r="E77" i="74"/>
  <c r="D17" i="74"/>
  <c r="Q55" i="74"/>
  <c r="Q12" i="75"/>
  <c r="Q24" i="75"/>
  <c r="Q56" i="75"/>
  <c r="Q83" i="75"/>
  <c r="Q110" i="75"/>
  <c r="N29" i="76"/>
  <c r="N19" i="76"/>
  <c r="M19" i="76"/>
  <c r="M29" i="76"/>
  <c r="O34" i="76"/>
  <c r="K85" i="77"/>
  <c r="K19" i="77"/>
  <c r="L85" i="77"/>
  <c r="L19" i="77"/>
  <c r="F82" i="79"/>
  <c r="F15" i="79"/>
  <c r="D82" i="79"/>
  <c r="D15" i="79"/>
  <c r="O92" i="83"/>
  <c r="O22" i="83"/>
  <c r="G22" i="83"/>
  <c r="G92" i="83"/>
  <c r="E17" i="74"/>
  <c r="Q49" i="74"/>
  <c r="Q11" i="75"/>
  <c r="D10" i="75"/>
  <c r="D42" i="75" s="1"/>
  <c r="Q23" i="75"/>
  <c r="Q69" i="75"/>
  <c r="M19" i="77"/>
  <c r="M85" i="77"/>
  <c r="Q55" i="77"/>
  <c r="J31" i="78"/>
  <c r="J15" i="78"/>
  <c r="D17" i="79"/>
  <c r="K17" i="80"/>
  <c r="K76" i="80"/>
  <c r="L17" i="80"/>
  <c r="L76" i="80"/>
  <c r="J65" i="81"/>
  <c r="J18" i="81"/>
  <c r="Q44" i="81"/>
  <c r="G20" i="82"/>
  <c r="G74" i="82"/>
  <c r="I74" i="82"/>
  <c r="I20" i="82"/>
  <c r="N92" i="83"/>
  <c r="N22" i="83"/>
  <c r="M21" i="83"/>
  <c r="Q14" i="83"/>
  <c r="Q50" i="83"/>
  <c r="D21" i="76"/>
  <c r="D21" i="77"/>
  <c r="M14" i="78"/>
  <c r="Q80" i="79"/>
  <c r="M65" i="81"/>
  <c r="Q46" i="81"/>
  <c r="Q53" i="81"/>
  <c r="N65" i="81"/>
  <c r="Q23" i="82"/>
  <c r="Q11" i="83"/>
  <c r="F24" i="83"/>
  <c r="Q52" i="83"/>
  <c r="Q90" i="83"/>
  <c r="H17" i="85"/>
  <c r="H27" i="85"/>
  <c r="I27" i="85"/>
  <c r="I17" i="85"/>
  <c r="Q24" i="78"/>
  <c r="G87" i="79"/>
  <c r="G83" i="79"/>
  <c r="Q39" i="79"/>
  <c r="Q17" i="79" s="1"/>
  <c r="Q82" i="79" s="1"/>
  <c r="Q46" i="79"/>
  <c r="Q66" i="79"/>
  <c r="Q11" i="80"/>
  <c r="Q10" i="80" s="1"/>
  <c r="Q16" i="80" s="1"/>
  <c r="D10" i="80"/>
  <c r="D16" i="80" s="1"/>
  <c r="O18" i="81"/>
  <c r="O65" i="81"/>
  <c r="Q21" i="81"/>
  <c r="M74" i="82"/>
  <c r="M20" i="82"/>
  <c r="Q50" i="82"/>
  <c r="Q65" i="82"/>
  <c r="E93" i="83"/>
  <c r="E97" i="83"/>
  <c r="F22" i="83"/>
  <c r="F92" i="83"/>
  <c r="Q75" i="83"/>
  <c r="O14" i="78"/>
  <c r="Q18" i="78"/>
  <c r="Q17" i="78" s="1"/>
  <c r="Q31" i="78" s="1"/>
  <c r="I14" i="79"/>
  <c r="Q73" i="79"/>
  <c r="E17" i="80"/>
  <c r="E76" i="80"/>
  <c r="Q40" i="80"/>
  <c r="Q68" i="80"/>
  <c r="O74" i="82"/>
  <c r="O20" i="82"/>
  <c r="N22" i="82"/>
  <c r="N74" i="82" s="1"/>
  <c r="E22" i="83"/>
  <c r="Q61" i="83"/>
  <c r="Q82" i="83"/>
  <c r="D17" i="78"/>
  <c r="Q11" i="81"/>
  <c r="Q10" i="81" s="1"/>
  <c r="Q17" i="81" s="1"/>
  <c r="D10" i="81"/>
  <c r="D17" i="81" s="1"/>
  <c r="Q63" i="81"/>
  <c r="E19" i="84"/>
  <c r="I19" i="84"/>
  <c r="I78" i="84"/>
  <c r="Q53" i="90"/>
  <c r="D24" i="90"/>
  <c r="D10" i="76"/>
  <c r="D18" i="76" s="1"/>
  <c r="D10" i="77"/>
  <c r="D18" i="77" s="1"/>
  <c r="K15" i="79"/>
  <c r="K82" i="79"/>
  <c r="Q15" i="79"/>
  <c r="L17" i="79"/>
  <c r="D19" i="80"/>
  <c r="Q29" i="80"/>
  <c r="Q19" i="80" s="1"/>
  <c r="E18" i="81"/>
  <c r="E65" i="81"/>
  <c r="Q11" i="82"/>
  <c r="Q10" i="82" s="1"/>
  <c r="Q19" i="82" s="1"/>
  <c r="D10" i="82"/>
  <c r="D19" i="82" s="1"/>
  <c r="L20" i="82"/>
  <c r="Q52" i="82"/>
  <c r="D19" i="84"/>
  <c r="D78" i="84"/>
  <c r="D31" i="78"/>
  <c r="L15" i="79"/>
  <c r="L82" i="79"/>
  <c r="F17" i="80"/>
  <c r="F76" i="80"/>
  <c r="J19" i="80"/>
  <c r="Q56" i="80"/>
  <c r="F18" i="81"/>
  <c r="F65" i="81"/>
  <c r="H20" i="81"/>
  <c r="Q42" i="81"/>
  <c r="E74" i="82"/>
  <c r="E20" i="82"/>
  <c r="I22" i="83"/>
  <c r="I92" i="83"/>
  <c r="Q35" i="83"/>
  <c r="Q24" i="83" s="1"/>
  <c r="Q55" i="83"/>
  <c r="Q63" i="83"/>
  <c r="K15" i="86"/>
  <c r="K52" i="86"/>
  <c r="J15" i="86"/>
  <c r="J52" i="86"/>
  <c r="G15" i="78"/>
  <c r="G31" i="78"/>
  <c r="N17" i="79"/>
  <c r="N82" i="79" s="1"/>
  <c r="G17" i="80"/>
  <c r="G76" i="80"/>
  <c r="I17" i="80"/>
  <c r="I76" i="80"/>
  <c r="F19" i="80"/>
  <c r="G18" i="81"/>
  <c r="G65" i="81"/>
  <c r="J22" i="83"/>
  <c r="J92" i="83"/>
  <c r="H24" i="83"/>
  <c r="H92" i="83" s="1"/>
  <c r="F17" i="78"/>
  <c r="F31" i="78" s="1"/>
  <c r="Q29" i="78"/>
  <c r="H31" i="78"/>
  <c r="H17" i="80"/>
  <c r="H76" i="80"/>
  <c r="H18" i="81"/>
  <c r="H65" i="81"/>
  <c r="L31" i="78"/>
  <c r="L15" i="78"/>
  <c r="O87" i="79"/>
  <c r="O83" i="79"/>
  <c r="O15" i="79"/>
  <c r="Q43" i="79"/>
  <c r="Q50" i="79"/>
  <c r="J76" i="80"/>
  <c r="J17" i="80"/>
  <c r="Q58" i="80"/>
  <c r="I18" i="81"/>
  <c r="I65" i="81"/>
  <c r="F74" i="82"/>
  <c r="F20" i="82"/>
  <c r="H74" i="82"/>
  <c r="H20" i="82"/>
  <c r="L22" i="82"/>
  <c r="L74" i="82" s="1"/>
  <c r="Q69" i="82"/>
  <c r="K22" i="83"/>
  <c r="K92" i="83"/>
  <c r="L10" i="83"/>
  <c r="L21" i="83" s="1"/>
  <c r="Q65" i="83"/>
  <c r="J33" i="85"/>
  <c r="J36" i="85" s="1"/>
  <c r="J37" i="85" s="1"/>
  <c r="O19" i="84"/>
  <c r="Q46" i="84"/>
  <c r="Q61" i="84"/>
  <c r="D17" i="85"/>
  <c r="D27" i="85"/>
  <c r="F17" i="85"/>
  <c r="F27" i="85"/>
  <c r="Q22" i="85"/>
  <c r="M27" i="85"/>
  <c r="H52" i="86"/>
  <c r="H15" i="86"/>
  <c r="N15" i="86"/>
  <c r="F15" i="87"/>
  <c r="F29" i="87"/>
  <c r="M15" i="87"/>
  <c r="Q18" i="87"/>
  <c r="J15" i="88"/>
  <c r="G18" i="88"/>
  <c r="G39" i="88" s="1"/>
  <c r="Q37" i="88"/>
  <c r="H15" i="89"/>
  <c r="Q55" i="89"/>
  <c r="N88" i="90"/>
  <c r="M88" i="90"/>
  <c r="M22" i="90"/>
  <c r="Q14" i="90"/>
  <c r="Q25" i="90"/>
  <c r="L65" i="81"/>
  <c r="E17" i="85"/>
  <c r="E27" i="85"/>
  <c r="I52" i="86"/>
  <c r="I15" i="86"/>
  <c r="H15" i="87"/>
  <c r="H29" i="87"/>
  <c r="K16" i="88"/>
  <c r="K39" i="88"/>
  <c r="J57" i="89"/>
  <c r="J15" i="89"/>
  <c r="Q16" i="90"/>
  <c r="F94" i="92"/>
  <c r="F22" i="92"/>
  <c r="G94" i="92"/>
  <c r="G22" i="92"/>
  <c r="M82" i="79"/>
  <c r="Q11" i="84"/>
  <c r="Q10" i="84" s="1"/>
  <c r="Q18" i="84" s="1"/>
  <c r="Q55" i="84"/>
  <c r="G17" i="85"/>
  <c r="G27" i="85"/>
  <c r="Q27" i="86"/>
  <c r="Q40" i="86"/>
  <c r="I15" i="87"/>
  <c r="I29" i="87"/>
  <c r="L16" i="88"/>
  <c r="L39" i="88"/>
  <c r="Q29" i="88"/>
  <c r="K57" i="89"/>
  <c r="K15" i="89"/>
  <c r="I17" i="89"/>
  <c r="Q47" i="89"/>
  <c r="Q12" i="90"/>
  <c r="Q10" i="90" s="1"/>
  <c r="Q21" i="90" s="1"/>
  <c r="N18" i="93"/>
  <c r="H17" i="95"/>
  <c r="H69" i="95"/>
  <c r="Q22" i="84"/>
  <c r="Q70" i="84"/>
  <c r="L15" i="86"/>
  <c r="L52" i="86"/>
  <c r="K29" i="87"/>
  <c r="K15" i="87"/>
  <c r="N16" i="88"/>
  <c r="N39" i="88"/>
  <c r="Q28" i="89"/>
  <c r="Q41" i="89"/>
  <c r="O88" i="90"/>
  <c r="O22" i="90"/>
  <c r="D10" i="83"/>
  <c r="D21" i="83" s="1"/>
  <c r="F18" i="84"/>
  <c r="E21" i="84"/>
  <c r="E78" i="84" s="1"/>
  <c r="Q49" i="84"/>
  <c r="L16" i="85"/>
  <c r="K10" i="85"/>
  <c r="K16" i="85" s="1"/>
  <c r="Q11" i="85"/>
  <c r="Q10" i="85" s="1"/>
  <c r="Q16" i="85" s="1"/>
  <c r="M52" i="86"/>
  <c r="M15" i="86"/>
  <c r="O16" i="88"/>
  <c r="N57" i="89"/>
  <c r="N15" i="89"/>
  <c r="N20" i="82"/>
  <c r="G78" i="84"/>
  <c r="G19" i="84"/>
  <c r="Q42" i="84"/>
  <c r="N57" i="86"/>
  <c r="N53" i="86"/>
  <c r="L34" i="87"/>
  <c r="L30" i="87"/>
  <c r="Q22" i="87"/>
  <c r="D16" i="88"/>
  <c r="D39" i="88"/>
  <c r="Q16" i="88"/>
  <c r="O57" i="89"/>
  <c r="O15" i="89"/>
  <c r="G88" i="90"/>
  <c r="G22" i="90"/>
  <c r="Q47" i="90"/>
  <c r="Q33" i="82"/>
  <c r="H78" i="84"/>
  <c r="N17" i="85"/>
  <c r="N27" i="85"/>
  <c r="N29" i="87"/>
  <c r="N15" i="87"/>
  <c r="E39" i="88"/>
  <c r="E16" i="88"/>
  <c r="D57" i="89"/>
  <c r="D15" i="89"/>
  <c r="Q15" i="89"/>
  <c r="D88" i="90"/>
  <c r="D22" i="90"/>
  <c r="H88" i="90"/>
  <c r="H22" i="90"/>
  <c r="F21" i="94"/>
  <c r="F15" i="94"/>
  <c r="D21" i="94"/>
  <c r="D15" i="94"/>
  <c r="I31" i="78"/>
  <c r="J19" i="84"/>
  <c r="J78" i="84"/>
  <c r="O21" i="84"/>
  <c r="O78" i="84" s="1"/>
  <c r="Q51" i="84"/>
  <c r="D14" i="86"/>
  <c r="Q14" i="86"/>
  <c r="O17" i="86"/>
  <c r="O29" i="87"/>
  <c r="O15" i="87"/>
  <c r="F39" i="88"/>
  <c r="O18" i="88"/>
  <c r="O39" i="88" s="1"/>
  <c r="Q25" i="88"/>
  <c r="Q18" i="88" s="1"/>
  <c r="Q39" i="88" s="1"/>
  <c r="E57" i="89"/>
  <c r="E15" i="89"/>
  <c r="E88" i="90"/>
  <c r="E22" i="90"/>
  <c r="I10" i="90"/>
  <c r="I21" i="90" s="1"/>
  <c r="K19" i="84"/>
  <c r="K78" i="84"/>
  <c r="Q19" i="85"/>
  <c r="E52" i="86"/>
  <c r="E15" i="86"/>
  <c r="Q17" i="86"/>
  <c r="D29" i="87"/>
  <c r="D15" i="87"/>
  <c r="Q15" i="87"/>
  <c r="M17" i="87"/>
  <c r="M29" i="87" s="1"/>
  <c r="G34" i="87"/>
  <c r="G30" i="87"/>
  <c r="F88" i="90"/>
  <c r="F22" i="90"/>
  <c r="F28" i="91"/>
  <c r="F24" i="91"/>
  <c r="F74" i="95"/>
  <c r="F70" i="95"/>
  <c r="L78" i="84"/>
  <c r="J17" i="85"/>
  <c r="G52" i="86"/>
  <c r="Q45" i="86"/>
  <c r="H16" i="88"/>
  <c r="H39" i="88"/>
  <c r="Q34" i="88"/>
  <c r="F15" i="89"/>
  <c r="F57" i="89"/>
  <c r="I57" i="89"/>
  <c r="I15" i="89"/>
  <c r="Q52" i="89"/>
  <c r="Q17" i="89" s="1"/>
  <c r="Q57" i="89" s="1"/>
  <c r="J21" i="90"/>
  <c r="N18" i="84"/>
  <c r="Q76" i="84"/>
  <c r="F52" i="86"/>
  <c r="F15" i="86"/>
  <c r="O52" i="86"/>
  <c r="O15" i="86"/>
  <c r="E34" i="87"/>
  <c r="E30" i="87"/>
  <c r="Q27" i="87"/>
  <c r="I16" i="88"/>
  <c r="I39" i="88"/>
  <c r="H62" i="89"/>
  <c r="H58" i="89"/>
  <c r="M57" i="89"/>
  <c r="K88" i="90"/>
  <c r="K22" i="90"/>
  <c r="L22" i="90"/>
  <c r="L88" i="90"/>
  <c r="E23" i="91"/>
  <c r="E15" i="91"/>
  <c r="E94" i="92"/>
  <c r="E22" i="92"/>
  <c r="O18" i="93"/>
  <c r="O83" i="93"/>
  <c r="E14" i="94"/>
  <c r="G17" i="95"/>
  <c r="G69" i="95"/>
  <c r="Q42" i="95"/>
  <c r="N23" i="91"/>
  <c r="N15" i="91"/>
  <c r="Q18" i="91"/>
  <c r="Q17" i="91" s="1"/>
  <c r="H23" i="91"/>
  <c r="H22" i="92"/>
  <c r="Q11" i="93"/>
  <c r="Q10" i="93" s="1"/>
  <c r="Q17" i="93" s="1"/>
  <c r="D10" i="93"/>
  <c r="D17" i="93" s="1"/>
  <c r="Q78" i="93"/>
  <c r="G21" i="94"/>
  <c r="G15" i="94"/>
  <c r="Q21" i="94"/>
  <c r="Q15" i="94"/>
  <c r="I17" i="95"/>
  <c r="I69" i="95"/>
  <c r="O27" i="85"/>
  <c r="Q83" i="90"/>
  <c r="G15" i="91"/>
  <c r="G23" i="91"/>
  <c r="M15" i="91"/>
  <c r="I94" i="92"/>
  <c r="I22" i="92"/>
  <c r="E17" i="93"/>
  <c r="Q49" i="93"/>
  <c r="H21" i="94"/>
  <c r="H15" i="94"/>
  <c r="N26" i="94"/>
  <c r="N22" i="94"/>
  <c r="J17" i="95"/>
  <c r="J69" i="95"/>
  <c r="Q31" i="95"/>
  <c r="Q55" i="90"/>
  <c r="Q63" i="90"/>
  <c r="I15" i="91"/>
  <c r="I23" i="91"/>
  <c r="K21" i="92"/>
  <c r="J10" i="92"/>
  <c r="J21" i="92" s="1"/>
  <c r="H24" i="92"/>
  <c r="H94" i="92" s="1"/>
  <c r="F18" i="93"/>
  <c r="F83" i="93"/>
  <c r="N20" i="93"/>
  <c r="N83" i="93" s="1"/>
  <c r="M84" i="93"/>
  <c r="I21" i="94"/>
  <c r="I15" i="94"/>
  <c r="L17" i="95"/>
  <c r="L69" i="95"/>
  <c r="K17" i="95"/>
  <c r="K69" i="95"/>
  <c r="O74" i="95"/>
  <c r="J15" i="91"/>
  <c r="J23" i="91"/>
  <c r="L22" i="92"/>
  <c r="D24" i="92"/>
  <c r="Q47" i="92"/>
  <c r="Q61" i="92"/>
  <c r="G18" i="93"/>
  <c r="G83" i="93"/>
  <c r="J21" i="94"/>
  <c r="J15" i="94"/>
  <c r="M17" i="95"/>
  <c r="M69" i="95"/>
  <c r="G15" i="86"/>
  <c r="E15" i="87"/>
  <c r="M15" i="89"/>
  <c r="K15" i="91"/>
  <c r="K23" i="91"/>
  <c r="M22" i="92"/>
  <c r="M94" i="92"/>
  <c r="I18" i="93"/>
  <c r="I83" i="93"/>
  <c r="H18" i="93"/>
  <c r="H83" i="93"/>
  <c r="Q51" i="93"/>
  <c r="K21" i="94"/>
  <c r="K15" i="94"/>
  <c r="N69" i="95"/>
  <c r="N17" i="95"/>
  <c r="M39" i="88"/>
  <c r="Q57" i="90"/>
  <c r="Q65" i="90"/>
  <c r="L23" i="91"/>
  <c r="L15" i="91"/>
  <c r="Q14" i="92"/>
  <c r="L24" i="92"/>
  <c r="L94" i="92" s="1"/>
  <c r="Q55" i="92"/>
  <c r="N94" i="92"/>
  <c r="J18" i="93"/>
  <c r="J83" i="93"/>
  <c r="L21" i="94"/>
  <c r="L15" i="94"/>
  <c r="M28" i="91"/>
  <c r="M24" i="91"/>
  <c r="O99" i="92"/>
  <c r="O95" i="92"/>
  <c r="Q36" i="92"/>
  <c r="Q24" i="92" s="1"/>
  <c r="Q63" i="92"/>
  <c r="K18" i="93"/>
  <c r="K83" i="93"/>
  <c r="M15" i="94"/>
  <c r="M21" i="94"/>
  <c r="Q73" i="90"/>
  <c r="Q12" i="92"/>
  <c r="Q49" i="92"/>
  <c r="L83" i="93"/>
  <c r="L18" i="93"/>
  <c r="Q45" i="93"/>
  <c r="Q20" i="93" s="1"/>
  <c r="Q75" i="93"/>
  <c r="Q11" i="95"/>
  <c r="Q10" i="95" s="1"/>
  <c r="Q16" i="95" s="1"/>
  <c r="D10" i="95"/>
  <c r="D16" i="95" s="1"/>
  <c r="Q51" i="90"/>
  <c r="Q59" i="90"/>
  <c r="O14" i="91"/>
  <c r="Q11" i="92"/>
  <c r="Q57" i="92"/>
  <c r="Q92" i="92"/>
  <c r="M89" i="93"/>
  <c r="M92" i="93" s="1"/>
  <c r="M93" i="93" s="1"/>
  <c r="O26" i="94"/>
  <c r="O22" i="94"/>
  <c r="Q55" i="95"/>
  <c r="Q19" i="95" s="1"/>
  <c r="D23" i="91"/>
  <c r="D15" i="91"/>
  <c r="Q23" i="91"/>
  <c r="Q15" i="91"/>
  <c r="D94" i="92"/>
  <c r="D22" i="92"/>
  <c r="E17" i="95"/>
  <c r="E69" i="95"/>
  <c r="F15" i="91"/>
  <c r="E79" i="84" l="1"/>
  <c r="E83" i="84"/>
  <c r="H71" i="71"/>
  <c r="H75" i="71"/>
  <c r="E147" i="68"/>
  <c r="E151" i="68"/>
  <c r="O119" i="66"/>
  <c r="O115" i="66"/>
  <c r="M101" i="62"/>
  <c r="M105" i="62"/>
  <c r="J69" i="65"/>
  <c r="J65" i="65"/>
  <c r="M61" i="63"/>
  <c r="M57" i="63"/>
  <c r="D119" i="42"/>
  <c r="D115" i="42"/>
  <c r="K106" i="51"/>
  <c r="K110" i="51"/>
  <c r="J110" i="51"/>
  <c r="J106" i="51"/>
  <c r="N110" i="51"/>
  <c r="N106" i="51"/>
  <c r="J98" i="9"/>
  <c r="J95" i="9"/>
  <c r="K86" i="69"/>
  <c r="K82" i="69"/>
  <c r="Q58" i="89"/>
  <c r="Q62" i="89"/>
  <c r="O40" i="88"/>
  <c r="O44" i="88"/>
  <c r="I123" i="75"/>
  <c r="I119" i="75"/>
  <c r="H34" i="76"/>
  <c r="H30" i="76"/>
  <c r="L75" i="71"/>
  <c r="L71" i="71"/>
  <c r="F94" i="64"/>
  <c r="F90" i="64"/>
  <c r="J94" i="64"/>
  <c r="J90" i="64"/>
  <c r="D110" i="51"/>
  <c r="D106" i="51"/>
  <c r="Q35" i="55"/>
  <c r="Q31" i="55"/>
  <c r="O70" i="48"/>
  <c r="O74" i="48"/>
  <c r="L74" i="48"/>
  <c r="L70" i="48"/>
  <c r="K168" i="30"/>
  <c r="K164" i="30"/>
  <c r="H168" i="30"/>
  <c r="H164" i="30"/>
  <c r="K225" i="15"/>
  <c r="K221" i="15"/>
  <c r="E98" i="9"/>
  <c r="E95" i="9"/>
  <c r="I231" i="12"/>
  <c r="I227" i="12"/>
  <c r="N79" i="82"/>
  <c r="N75" i="82"/>
  <c r="O110" i="70"/>
  <c r="O106" i="70"/>
  <c r="I62" i="67"/>
  <c r="I58" i="67"/>
  <c r="J79" i="58"/>
  <c r="J75" i="58"/>
  <c r="L124" i="36"/>
  <c r="L128" i="36"/>
  <c r="K99" i="21"/>
  <c r="K95" i="21"/>
  <c r="N98" i="9"/>
  <c r="N95" i="9"/>
  <c r="N86" i="69"/>
  <c r="N82" i="69"/>
  <c r="D82" i="74"/>
  <c r="D78" i="74"/>
  <c r="G61" i="63"/>
  <c r="G57" i="63"/>
  <c r="Q57" i="63"/>
  <c r="Q61" i="63"/>
  <c r="D75" i="58"/>
  <c r="D79" i="58"/>
  <c r="O225" i="15"/>
  <c r="O221" i="15"/>
  <c r="Q40" i="88"/>
  <c r="Q44" i="88"/>
  <c r="G110" i="70"/>
  <c r="G106" i="70"/>
  <c r="J147" i="68"/>
  <c r="J151" i="68"/>
  <c r="Q87" i="79"/>
  <c r="Q83" i="79"/>
  <c r="N119" i="66"/>
  <c r="N115" i="66"/>
  <c r="G119" i="66"/>
  <c r="G115" i="66"/>
  <c r="N61" i="63"/>
  <c r="N57" i="63"/>
  <c r="N79" i="58"/>
  <c r="N75" i="58"/>
  <c r="I69" i="59"/>
  <c r="I65" i="59"/>
  <c r="H115" i="42"/>
  <c r="H119" i="42"/>
  <c r="K249" i="18"/>
  <c r="K245" i="18"/>
  <c r="K98" i="9"/>
  <c r="K95" i="9"/>
  <c r="N88" i="93"/>
  <c r="N84" i="93"/>
  <c r="Q22" i="90"/>
  <c r="F123" i="75"/>
  <c r="F119" i="75"/>
  <c r="J86" i="69"/>
  <c r="J82" i="69"/>
  <c r="L78" i="74"/>
  <c r="L82" i="74"/>
  <c r="J110" i="70"/>
  <c r="J106" i="70"/>
  <c r="N58" i="67"/>
  <c r="N62" i="67"/>
  <c r="L105" i="62"/>
  <c r="L101" i="62"/>
  <c r="M69" i="57"/>
  <c r="M73" i="57"/>
  <c r="K79" i="58"/>
  <c r="K75" i="58"/>
  <c r="K57" i="61"/>
  <c r="K53" i="61"/>
  <c r="N75" i="56"/>
  <c r="N79" i="56"/>
  <c r="E128" i="36"/>
  <c r="E124" i="36"/>
  <c r="G71" i="72"/>
  <c r="G67" i="72"/>
  <c r="H58" i="67"/>
  <c r="H62" i="67"/>
  <c r="H69" i="59"/>
  <c r="H65" i="59"/>
  <c r="Q123" i="36"/>
  <c r="Q27" i="36"/>
  <c r="M221" i="15"/>
  <c r="M225" i="15"/>
  <c r="M119" i="66"/>
  <c r="M115" i="66"/>
  <c r="M79" i="58"/>
  <c r="M75" i="58"/>
  <c r="D35" i="55"/>
  <c r="D31" i="55"/>
  <c r="G79" i="56"/>
  <c r="G75" i="56"/>
  <c r="N126" i="39"/>
  <c r="N122" i="39"/>
  <c r="I128" i="36"/>
  <c r="I124" i="36"/>
  <c r="K120" i="27"/>
  <c r="K116" i="27"/>
  <c r="Q54" i="27"/>
  <c r="G90" i="77"/>
  <c r="G86" i="77"/>
  <c r="O75" i="71"/>
  <c r="O71" i="71"/>
  <c r="L94" i="64"/>
  <c r="L90" i="64"/>
  <c r="K75" i="56"/>
  <c r="K79" i="56"/>
  <c r="E99" i="21"/>
  <c r="E95" i="21"/>
  <c r="K78" i="74"/>
  <c r="K82" i="74"/>
  <c r="H78" i="74"/>
  <c r="H82" i="74"/>
  <c r="G101" i="62"/>
  <c r="G105" i="62"/>
  <c r="J73" i="57"/>
  <c r="J69" i="57"/>
  <c r="E105" i="45"/>
  <c r="E101" i="45"/>
  <c r="E126" i="39"/>
  <c r="E122" i="39"/>
  <c r="H116" i="27"/>
  <c r="H120" i="27"/>
  <c r="N99" i="21"/>
  <c r="N95" i="21"/>
  <c r="O231" i="12"/>
  <c r="O227" i="12"/>
  <c r="I225" i="15"/>
  <c r="I221" i="15"/>
  <c r="G227" i="12"/>
  <c r="G231" i="12"/>
  <c r="H99" i="92"/>
  <c r="H95" i="92"/>
  <c r="N87" i="79"/>
  <c r="N83" i="79"/>
  <c r="L110" i="70"/>
  <c r="L106" i="70"/>
  <c r="F115" i="66"/>
  <c r="F119" i="66"/>
  <c r="N69" i="65"/>
  <c r="N65" i="65"/>
  <c r="K73" i="57"/>
  <c r="K69" i="57"/>
  <c r="I74" i="48"/>
  <c r="I70" i="48"/>
  <c r="E110" i="51"/>
  <c r="E106" i="51"/>
  <c r="N128" i="36"/>
  <c r="N124" i="36"/>
  <c r="G95" i="9"/>
  <c r="G98" i="9"/>
  <c r="F36" i="78"/>
  <c r="F32" i="78"/>
  <c r="M82" i="69"/>
  <c r="M86" i="69"/>
  <c r="N71" i="72"/>
  <c r="N67" i="72"/>
  <c r="N151" i="68"/>
  <c r="N147" i="68"/>
  <c r="I61" i="60"/>
  <c r="I57" i="60"/>
  <c r="O57" i="61"/>
  <c r="O53" i="61"/>
  <c r="J122" i="39"/>
  <c r="J126" i="39"/>
  <c r="L99" i="92"/>
  <c r="L95" i="92"/>
  <c r="M34" i="87"/>
  <c r="M30" i="87"/>
  <c r="O83" i="84"/>
  <c r="O79" i="84"/>
  <c r="G44" i="88"/>
  <c r="G40" i="88"/>
  <c r="L79" i="82"/>
  <c r="L75" i="82"/>
  <c r="Q36" i="78"/>
  <c r="Q32" i="78"/>
  <c r="I147" i="68"/>
  <c r="I151" i="68"/>
  <c r="K69" i="65"/>
  <c r="K65" i="65"/>
  <c r="F69" i="65"/>
  <c r="F65" i="65"/>
  <c r="Q57" i="60"/>
  <c r="Q61" i="60"/>
  <c r="D79" i="56"/>
  <c r="D75" i="56"/>
  <c r="O88" i="33"/>
  <c r="O84" i="33"/>
  <c r="O98" i="24"/>
  <c r="O94" i="24"/>
  <c r="Q29" i="76"/>
  <c r="Q19" i="76"/>
  <c r="I90" i="69"/>
  <c r="I91" i="69" s="1"/>
  <c r="I87" i="69"/>
  <c r="K94" i="64"/>
  <c r="K90" i="64"/>
  <c r="M101" i="45"/>
  <c r="M105" i="45"/>
  <c r="Q119" i="15"/>
  <c r="G17" i="20"/>
  <c r="G25" i="20"/>
  <c r="D118" i="75"/>
  <c r="D43" i="75"/>
  <c r="J78" i="74"/>
  <c r="J82" i="74"/>
  <c r="J75" i="56"/>
  <c r="J79" i="56"/>
  <c r="M53" i="61"/>
  <c r="M57" i="61"/>
  <c r="H124" i="36"/>
  <c r="H128" i="36"/>
  <c r="Q153" i="3"/>
  <c r="Q262" i="3"/>
  <c r="D24" i="91"/>
  <c r="D28" i="91"/>
  <c r="D69" i="95"/>
  <c r="D17" i="95"/>
  <c r="K22" i="94"/>
  <c r="K26" i="94"/>
  <c r="J28" i="91"/>
  <c r="J24" i="91"/>
  <c r="N30" i="94"/>
  <c r="N31" i="94" s="1"/>
  <c r="N27" i="94"/>
  <c r="I74" i="95"/>
  <c r="I70" i="95"/>
  <c r="F62" i="89"/>
  <c r="F58" i="89"/>
  <c r="D30" i="87"/>
  <c r="D34" i="87"/>
  <c r="I36" i="78"/>
  <c r="I32" i="78"/>
  <c r="D58" i="89"/>
  <c r="D62" i="89"/>
  <c r="L57" i="86"/>
  <c r="L53" i="86"/>
  <c r="K62" i="89"/>
  <c r="K58" i="89"/>
  <c r="M87" i="79"/>
  <c r="M83" i="79"/>
  <c r="L22" i="83"/>
  <c r="L92" i="83"/>
  <c r="G81" i="80"/>
  <c r="G77" i="80"/>
  <c r="F81" i="80"/>
  <c r="F77" i="80"/>
  <c r="Q20" i="82"/>
  <c r="D17" i="80"/>
  <c r="D76" i="80"/>
  <c r="J70" i="81"/>
  <c r="J66" i="81"/>
  <c r="D87" i="79"/>
  <c r="D83" i="79"/>
  <c r="N90" i="77"/>
  <c r="N86" i="77"/>
  <c r="M83" i="84"/>
  <c r="M79" i="84"/>
  <c r="E118" i="75"/>
  <c r="E43" i="75"/>
  <c r="E90" i="77"/>
  <c r="E86" i="77"/>
  <c r="L27" i="69"/>
  <c r="L81" i="69"/>
  <c r="Q19" i="74"/>
  <c r="Q77" i="74" s="1"/>
  <c r="M71" i="72"/>
  <c r="M67" i="72"/>
  <c r="E20" i="67"/>
  <c r="E57" i="67"/>
  <c r="D20" i="67"/>
  <c r="D57" i="67"/>
  <c r="G76" i="68"/>
  <c r="G146" i="68"/>
  <c r="D65" i="65"/>
  <c r="D69" i="65"/>
  <c r="E115" i="66"/>
  <c r="E119" i="66"/>
  <c r="F27" i="69"/>
  <c r="F81" i="69"/>
  <c r="O61" i="63"/>
  <c r="O57" i="63"/>
  <c r="F68" i="57"/>
  <c r="F15" i="57"/>
  <c r="E61" i="60"/>
  <c r="E57" i="60"/>
  <c r="E105" i="62"/>
  <c r="E101" i="62"/>
  <c r="M79" i="56"/>
  <c r="M75" i="56"/>
  <c r="M36" i="55"/>
  <c r="M39" i="55" s="1"/>
  <c r="M40" i="55" s="1"/>
  <c r="E31" i="55"/>
  <c r="E35" i="55"/>
  <c r="L106" i="51"/>
  <c r="L110" i="51"/>
  <c r="J17" i="48"/>
  <c r="J69" i="48"/>
  <c r="H69" i="48"/>
  <c r="H17" i="48"/>
  <c r="L57" i="61"/>
  <c r="L53" i="61"/>
  <c r="N106" i="45"/>
  <c r="N109" i="45" s="1"/>
  <c r="N110" i="45" s="1"/>
  <c r="Q10" i="33"/>
  <c r="Q28" i="33" s="1"/>
  <c r="Q10" i="24"/>
  <c r="Q36" i="24" s="1"/>
  <c r="E120" i="27"/>
  <c r="E116" i="27"/>
  <c r="I98" i="24"/>
  <c r="I94" i="24"/>
  <c r="Q10" i="18"/>
  <c r="Q142" i="18" s="1"/>
  <c r="F98" i="9"/>
  <c r="F95" i="9"/>
  <c r="D119" i="15"/>
  <c r="D220" i="15"/>
  <c r="J267" i="3"/>
  <c r="J263" i="3"/>
  <c r="E153" i="3"/>
  <c r="E262" i="3"/>
  <c r="E25" i="96"/>
  <c r="E17" i="96"/>
  <c r="E25" i="47"/>
  <c r="E17" i="47"/>
  <c r="D17" i="37"/>
  <c r="D25" i="37"/>
  <c r="G25" i="43"/>
  <c r="G17" i="43"/>
  <c r="G17" i="40"/>
  <c r="G25" i="40"/>
  <c r="D17" i="28"/>
  <c r="D25" i="28"/>
  <c r="D17" i="26"/>
  <c r="D25" i="26"/>
  <c r="E17" i="7"/>
  <c r="E25" i="7"/>
  <c r="G25" i="11"/>
  <c r="G17" i="11"/>
  <c r="O58" i="89"/>
  <c r="O62" i="89"/>
  <c r="H36" i="78"/>
  <c r="H32" i="78"/>
  <c r="Q48" i="73"/>
  <c r="Q22" i="73"/>
  <c r="Q57" i="67"/>
  <c r="Q20" i="67"/>
  <c r="K98" i="24"/>
  <c r="K94" i="24"/>
  <c r="D25" i="14"/>
  <c r="D17" i="14"/>
  <c r="H88" i="93"/>
  <c r="H84" i="93"/>
  <c r="D26" i="94"/>
  <c r="D22" i="94"/>
  <c r="J16" i="88"/>
  <c r="J39" i="88"/>
  <c r="D147" i="68"/>
  <c r="D151" i="68"/>
  <c r="Q79" i="30"/>
  <c r="K126" i="39"/>
  <c r="K122" i="39"/>
  <c r="Q25" i="21"/>
  <c r="H249" i="18"/>
  <c r="H245" i="18"/>
  <c r="D17" i="7"/>
  <c r="D25" i="7"/>
  <c r="O27" i="94"/>
  <c r="O30" i="94" s="1"/>
  <c r="O31" i="94" s="1"/>
  <c r="K74" i="95"/>
  <c r="K70" i="95"/>
  <c r="K94" i="92"/>
  <c r="K22" i="92"/>
  <c r="Q26" i="94"/>
  <c r="Q22" i="94"/>
  <c r="O57" i="86"/>
  <c r="O53" i="86"/>
  <c r="F93" i="90"/>
  <c r="F89" i="90"/>
  <c r="E57" i="86"/>
  <c r="E53" i="86"/>
  <c r="D92" i="83"/>
  <c r="D22" i="83"/>
  <c r="Q21" i="84"/>
  <c r="Q17" i="87"/>
  <c r="Q29" i="87" s="1"/>
  <c r="D32" i="85"/>
  <c r="D28" i="85"/>
  <c r="O79" i="82"/>
  <c r="O75" i="82"/>
  <c r="E98" i="83"/>
  <c r="E101" i="83" s="1"/>
  <c r="E102" i="83" s="1"/>
  <c r="Q10" i="83"/>
  <c r="Q21" i="83" s="1"/>
  <c r="M22" i="83"/>
  <c r="M92" i="83"/>
  <c r="K77" i="80"/>
  <c r="K81" i="80"/>
  <c r="Q10" i="75"/>
  <c r="Q42" i="75" s="1"/>
  <c r="L34" i="76"/>
  <c r="L30" i="76"/>
  <c r="K32" i="78"/>
  <c r="K36" i="78"/>
  <c r="D19" i="71"/>
  <c r="D70" i="71"/>
  <c r="N119" i="75"/>
  <c r="N123" i="75"/>
  <c r="N19" i="71"/>
  <c r="N70" i="71"/>
  <c r="J53" i="73"/>
  <c r="J49" i="73"/>
  <c r="J20" i="67"/>
  <c r="J57" i="67"/>
  <c r="M69" i="65"/>
  <c r="M65" i="65"/>
  <c r="J71" i="72"/>
  <c r="J67" i="72"/>
  <c r="E62" i="63"/>
  <c r="E65" i="63" s="1"/>
  <c r="E66" i="63" s="1"/>
  <c r="L119" i="66"/>
  <c r="L115" i="66"/>
  <c r="H101" i="62"/>
  <c r="H105" i="62"/>
  <c r="K119" i="66"/>
  <c r="K115" i="66"/>
  <c r="H58" i="61"/>
  <c r="H61" i="61" s="1"/>
  <c r="H62" i="61" s="1"/>
  <c r="L61" i="63"/>
  <c r="L57" i="63"/>
  <c r="F61" i="60"/>
  <c r="F57" i="60"/>
  <c r="N69" i="57"/>
  <c r="N73" i="57"/>
  <c r="E57" i="61"/>
  <c r="E53" i="61"/>
  <c r="D70" i="59"/>
  <c r="D73" i="59" s="1"/>
  <c r="D74" i="59" s="1"/>
  <c r="K101" i="45"/>
  <c r="K105" i="45"/>
  <c r="F105" i="45"/>
  <c r="F101" i="45"/>
  <c r="Q19" i="48"/>
  <c r="I79" i="58"/>
  <c r="I75" i="58"/>
  <c r="N22" i="54"/>
  <c r="N26" i="54"/>
  <c r="O31" i="55"/>
  <c r="O35" i="55"/>
  <c r="F126" i="39"/>
  <c r="F122" i="39"/>
  <c r="F120" i="27"/>
  <c r="F116" i="27"/>
  <c r="I77" i="30"/>
  <c r="I163" i="30"/>
  <c r="O124" i="36"/>
  <c r="O128" i="36"/>
  <c r="I95" i="21"/>
  <c r="I99" i="21"/>
  <c r="M115" i="27"/>
  <c r="M54" i="27"/>
  <c r="H225" i="15"/>
  <c r="H221" i="15"/>
  <c r="L98" i="9"/>
  <c r="L95" i="9"/>
  <c r="D31" i="6"/>
  <c r="D32" i="6" s="1"/>
  <c r="D26" i="6"/>
  <c r="N22" i="6"/>
  <c r="N25" i="6"/>
  <c r="Q31" i="6"/>
  <c r="Q32" i="6" s="1"/>
  <c r="Q26" i="6"/>
  <c r="G17" i="97"/>
  <c r="G25" i="97"/>
  <c r="D25" i="47"/>
  <c r="D17" i="47"/>
  <c r="G25" i="41"/>
  <c r="G17" i="41"/>
  <c r="D25" i="35"/>
  <c r="D17" i="35"/>
  <c r="E17" i="31"/>
  <c r="E25" i="31"/>
  <c r="D17" i="38"/>
  <c r="D25" i="38"/>
  <c r="E25" i="20"/>
  <c r="E17" i="20"/>
  <c r="E25" i="10"/>
  <c r="E17" i="10"/>
  <c r="E25" i="11"/>
  <c r="E17" i="11"/>
  <c r="I57" i="86"/>
  <c r="I53" i="86"/>
  <c r="E70" i="81"/>
  <c r="E66" i="81"/>
  <c r="K75" i="71"/>
  <c r="K71" i="71"/>
  <c r="O90" i="64"/>
  <c r="O94" i="64"/>
  <c r="E84" i="33"/>
  <c r="E88" i="33"/>
  <c r="D25" i="8"/>
  <c r="D17" i="8"/>
  <c r="J86" i="77"/>
  <c r="J90" i="77"/>
  <c r="J123" i="75"/>
  <c r="J119" i="75"/>
  <c r="L20" i="67"/>
  <c r="L57" i="67"/>
  <c r="D69" i="48"/>
  <c r="D17" i="48"/>
  <c r="Q69" i="48"/>
  <c r="Q17" i="48"/>
  <c r="G70" i="48"/>
  <c r="G74" i="48"/>
  <c r="D128" i="36"/>
  <c r="D124" i="36"/>
  <c r="H227" i="12"/>
  <c r="H231" i="12"/>
  <c r="G25" i="16"/>
  <c r="G17" i="16"/>
  <c r="E74" i="95"/>
  <c r="E70" i="95"/>
  <c r="O103" i="92"/>
  <c r="O104" i="92" s="1"/>
  <c r="O100" i="92"/>
  <c r="L28" i="91"/>
  <c r="L24" i="91"/>
  <c r="I88" i="93"/>
  <c r="I84" i="93"/>
  <c r="J22" i="94"/>
  <c r="J26" i="94"/>
  <c r="I28" i="91"/>
  <c r="I24" i="91"/>
  <c r="E18" i="93"/>
  <c r="E83" i="93"/>
  <c r="G74" i="95"/>
  <c r="G70" i="95"/>
  <c r="H44" i="88"/>
  <c r="H40" i="88"/>
  <c r="O30" i="87"/>
  <c r="O34" i="87"/>
  <c r="F26" i="94"/>
  <c r="F22" i="94"/>
  <c r="N34" i="87"/>
  <c r="N30" i="87"/>
  <c r="D40" i="88"/>
  <c r="D44" i="88"/>
  <c r="N62" i="89"/>
  <c r="N58" i="89"/>
  <c r="H74" i="95"/>
  <c r="H70" i="95"/>
  <c r="I34" i="87"/>
  <c r="I30" i="87"/>
  <c r="F99" i="92"/>
  <c r="F95" i="92"/>
  <c r="L70" i="81"/>
  <c r="L66" i="81"/>
  <c r="H93" i="83"/>
  <c r="H97" i="83"/>
  <c r="G36" i="78"/>
  <c r="G32" i="78"/>
  <c r="D36" i="78"/>
  <c r="D32" i="78"/>
  <c r="Q22" i="82"/>
  <c r="Q74" i="82" s="1"/>
  <c r="L86" i="77"/>
  <c r="L90" i="77"/>
  <c r="F90" i="77"/>
  <c r="F86" i="77"/>
  <c r="H85" i="77"/>
  <c r="H19" i="77"/>
  <c r="D48" i="73"/>
  <c r="D22" i="73"/>
  <c r="O91" i="77"/>
  <c r="O94" i="77" s="1"/>
  <c r="O95" i="77" s="1"/>
  <c r="K48" i="70"/>
  <c r="K105" i="70"/>
  <c r="D67" i="72"/>
  <c r="D71" i="72"/>
  <c r="M82" i="74"/>
  <c r="M78" i="74"/>
  <c r="G63" i="89"/>
  <c r="G66" i="89" s="1"/>
  <c r="G67" i="89" s="1"/>
  <c r="H86" i="69"/>
  <c r="H82" i="69"/>
  <c r="G69" i="65"/>
  <c r="G65" i="65"/>
  <c r="Q17" i="65"/>
  <c r="Q64" i="65"/>
  <c r="G57" i="61"/>
  <c r="G53" i="61"/>
  <c r="J61" i="60"/>
  <c r="J57" i="60"/>
  <c r="E79" i="58"/>
  <c r="E75" i="58"/>
  <c r="G70" i="59"/>
  <c r="G73" i="59" s="1"/>
  <c r="G74" i="59" s="1"/>
  <c r="J35" i="55"/>
  <c r="J31" i="55"/>
  <c r="J27" i="54"/>
  <c r="J32" i="54"/>
  <c r="J33" i="54" s="1"/>
  <c r="G105" i="45"/>
  <c r="G101" i="45"/>
  <c r="E119" i="42"/>
  <c r="E115" i="42"/>
  <c r="N115" i="42"/>
  <c r="N119" i="42"/>
  <c r="D105" i="45"/>
  <c r="D101" i="45"/>
  <c r="O75" i="56"/>
  <c r="O79" i="56"/>
  <c r="L115" i="42"/>
  <c r="L119" i="42"/>
  <c r="Q10" i="30"/>
  <c r="Q76" i="30" s="1"/>
  <c r="F37" i="24"/>
  <c r="F93" i="24"/>
  <c r="O245" i="18"/>
  <c r="O249" i="18"/>
  <c r="N221" i="15"/>
  <c r="N225" i="15"/>
  <c r="I143" i="18"/>
  <c r="I244" i="18"/>
  <c r="N115" i="27"/>
  <c r="N54" i="27"/>
  <c r="F245" i="18"/>
  <c r="F249" i="18"/>
  <c r="Q27" i="21"/>
  <c r="Q94" i="21" s="1"/>
  <c r="G95" i="21"/>
  <c r="G99" i="21"/>
  <c r="E119" i="15"/>
  <c r="E220" i="15"/>
  <c r="Q121" i="15"/>
  <c r="Q220" i="15" s="1"/>
  <c r="L25" i="6"/>
  <c r="L22" i="6"/>
  <c r="F273" i="3"/>
  <c r="F274" i="3" s="1"/>
  <c r="F268" i="3"/>
  <c r="E17" i="97"/>
  <c r="E25" i="97"/>
  <c r="G17" i="44"/>
  <c r="G25" i="44"/>
  <c r="E17" i="44"/>
  <c r="E25" i="44"/>
  <c r="E25" i="32"/>
  <c r="E17" i="32"/>
  <c r="G17" i="28"/>
  <c r="G25" i="28"/>
  <c r="D25" i="25"/>
  <c r="D17" i="25"/>
  <c r="E25" i="16"/>
  <c r="E17" i="16"/>
  <c r="G25" i="17"/>
  <c r="G17" i="17"/>
  <c r="G25" i="5"/>
  <c r="G17" i="5"/>
  <c r="Q17" i="80"/>
  <c r="Q76" i="80"/>
  <c r="H43" i="75"/>
  <c r="H118" i="75"/>
  <c r="N110" i="70"/>
  <c r="N106" i="70"/>
  <c r="L73" i="65"/>
  <c r="L74" i="65" s="1"/>
  <c r="L70" i="65"/>
  <c r="J105" i="45"/>
  <c r="J101" i="45"/>
  <c r="H121" i="39"/>
  <c r="H31" i="39"/>
  <c r="G88" i="33"/>
  <c r="G84" i="33"/>
  <c r="J98" i="24"/>
  <c r="J94" i="24"/>
  <c r="G25" i="37"/>
  <c r="G17" i="37"/>
  <c r="J94" i="92"/>
  <c r="J22" i="92"/>
  <c r="G99" i="92"/>
  <c r="G95" i="92"/>
  <c r="O65" i="65"/>
  <c r="O69" i="65"/>
  <c r="I100" i="45"/>
  <c r="I22" i="45"/>
  <c r="K123" i="42"/>
  <c r="K124" i="42" s="1"/>
  <c r="K120" i="42"/>
  <c r="N168" i="30"/>
  <c r="N164" i="30"/>
  <c r="I116" i="27"/>
  <c r="I120" i="27"/>
  <c r="M99" i="21"/>
  <c r="M95" i="21"/>
  <c r="G25" i="10"/>
  <c r="G17" i="10"/>
  <c r="L88" i="93"/>
  <c r="L84" i="93"/>
  <c r="G88" i="93"/>
  <c r="G84" i="93"/>
  <c r="L74" i="95"/>
  <c r="L70" i="95"/>
  <c r="G26" i="94"/>
  <c r="G22" i="94"/>
  <c r="K93" i="90"/>
  <c r="K89" i="90"/>
  <c r="F57" i="86"/>
  <c r="F53" i="86"/>
  <c r="K83" i="84"/>
  <c r="K79" i="84"/>
  <c r="N32" i="85"/>
  <c r="N28" i="85"/>
  <c r="O93" i="90"/>
  <c r="O89" i="90"/>
  <c r="Q24" i="90"/>
  <c r="Q88" i="90" s="1"/>
  <c r="J93" i="83"/>
  <c r="J97" i="83"/>
  <c r="E75" i="82"/>
  <c r="E79" i="82"/>
  <c r="N70" i="81"/>
  <c r="N66" i="81"/>
  <c r="N93" i="83"/>
  <c r="N97" i="83"/>
  <c r="K34" i="76"/>
  <c r="K30" i="76"/>
  <c r="J34" i="76"/>
  <c r="J30" i="76"/>
  <c r="J34" i="87"/>
  <c r="J30" i="87"/>
  <c r="H83" i="79"/>
  <c r="H87" i="79"/>
  <c r="E34" i="76"/>
  <c r="E30" i="76"/>
  <c r="O78" i="74"/>
  <c r="O82" i="74"/>
  <c r="M110" i="70"/>
  <c r="M106" i="70"/>
  <c r="F106" i="70"/>
  <c r="F110" i="70"/>
  <c r="F75" i="71"/>
  <c r="F71" i="71"/>
  <c r="I53" i="73"/>
  <c r="I49" i="73"/>
  <c r="E81" i="69"/>
  <c r="E27" i="69"/>
  <c r="F78" i="74"/>
  <c r="F82" i="74"/>
  <c r="O62" i="67"/>
  <c r="O58" i="67"/>
  <c r="L71" i="72"/>
  <c r="L67" i="72"/>
  <c r="Q10" i="68"/>
  <c r="Q75" i="68" s="1"/>
  <c r="I53" i="66"/>
  <c r="I114" i="66"/>
  <c r="H94" i="64"/>
  <c r="H90" i="64"/>
  <c r="Q18" i="62"/>
  <c r="Q100" i="62" s="1"/>
  <c r="H17" i="65"/>
  <c r="H64" i="65"/>
  <c r="K105" i="62"/>
  <c r="K101" i="62"/>
  <c r="O73" i="57"/>
  <c r="O69" i="57"/>
  <c r="L15" i="57"/>
  <c r="L68" i="57"/>
  <c r="E74" i="57"/>
  <c r="E77" i="57"/>
  <c r="E78" i="57" s="1"/>
  <c r="K69" i="59"/>
  <c r="K65" i="59"/>
  <c r="Q24" i="45"/>
  <c r="Q100" i="45" s="1"/>
  <c r="F27" i="54"/>
  <c r="F32" i="54" s="1"/>
  <c r="F33" i="54" s="1"/>
  <c r="J119" i="42"/>
  <c r="J115" i="42"/>
  <c r="G115" i="42"/>
  <c r="G119" i="42"/>
  <c r="F25" i="42"/>
  <c r="F114" i="42"/>
  <c r="O168" i="30"/>
  <c r="O164" i="30"/>
  <c r="H99" i="24"/>
  <c r="H102" i="24" s="1"/>
  <c r="H103" i="24" s="1"/>
  <c r="H99" i="21"/>
  <c r="H95" i="21"/>
  <c r="G245" i="18"/>
  <c r="G249" i="18"/>
  <c r="K231" i="12"/>
  <c r="K227" i="12"/>
  <c r="L143" i="18"/>
  <c r="L244" i="18"/>
  <c r="G225" i="15"/>
  <c r="G221" i="15"/>
  <c r="O98" i="9"/>
  <c r="O95" i="9"/>
  <c r="K262" i="3"/>
  <c r="K153" i="3"/>
  <c r="D17" i="97"/>
  <c r="D25" i="97"/>
  <c r="D17" i="52"/>
  <c r="D25" i="52"/>
  <c r="E25" i="41"/>
  <c r="E17" i="41"/>
  <c r="G25" i="29"/>
  <c r="G17" i="29"/>
  <c r="E17" i="52"/>
  <c r="E25" i="52"/>
  <c r="D25" i="23"/>
  <c r="D17" i="23"/>
  <c r="D25" i="20"/>
  <c r="D17" i="20"/>
  <c r="D17" i="10"/>
  <c r="D25" i="10"/>
  <c r="E25" i="5"/>
  <c r="E17" i="5"/>
  <c r="F32" i="85"/>
  <c r="F28" i="85"/>
  <c r="K79" i="82"/>
  <c r="K75" i="82"/>
  <c r="Q22" i="45"/>
  <c r="G126" i="39"/>
  <c r="G122" i="39"/>
  <c r="F226" i="12"/>
  <c r="F123" i="12"/>
  <c r="E25" i="25"/>
  <c r="E17" i="25"/>
  <c r="H26" i="94"/>
  <c r="H22" i="94"/>
  <c r="I90" i="77"/>
  <c r="I86" i="77"/>
  <c r="Q69" i="59"/>
  <c r="Q65" i="59"/>
  <c r="D105" i="62"/>
  <c r="D101" i="62"/>
  <c r="G128" i="36"/>
  <c r="G124" i="36"/>
  <c r="D17" i="34"/>
  <c r="D25" i="34"/>
  <c r="M32" i="91"/>
  <c r="M33" i="91" s="1"/>
  <c r="M29" i="91"/>
  <c r="M99" i="92"/>
  <c r="M95" i="92"/>
  <c r="I99" i="92"/>
  <c r="I95" i="92"/>
  <c r="E21" i="94"/>
  <c r="E15" i="94"/>
  <c r="M62" i="89"/>
  <c r="M58" i="89"/>
  <c r="Q52" i="86"/>
  <c r="Q15" i="86"/>
  <c r="H89" i="90"/>
  <c r="H93" i="90"/>
  <c r="F34" i="87"/>
  <c r="F30" i="87"/>
  <c r="H79" i="82"/>
  <c r="H75" i="82"/>
  <c r="O91" i="79"/>
  <c r="O92" i="79" s="1"/>
  <c r="O88" i="79"/>
  <c r="J57" i="86"/>
  <c r="J53" i="86"/>
  <c r="D83" i="84"/>
  <c r="D79" i="84"/>
  <c r="E81" i="80"/>
  <c r="E77" i="80"/>
  <c r="G88" i="79"/>
  <c r="G91" i="79" s="1"/>
  <c r="G92" i="79" s="1"/>
  <c r="G97" i="83"/>
  <c r="G93" i="83"/>
  <c r="K86" i="77"/>
  <c r="K90" i="77"/>
  <c r="I110" i="70"/>
  <c r="I106" i="70"/>
  <c r="Q66" i="72"/>
  <c r="Q18" i="72"/>
  <c r="E106" i="70"/>
  <c r="E110" i="70"/>
  <c r="G78" i="74"/>
  <c r="G82" i="74"/>
  <c r="D82" i="69"/>
  <c r="D86" i="69"/>
  <c r="Q78" i="68"/>
  <c r="F146" i="68"/>
  <c r="F76" i="68"/>
  <c r="I57" i="63"/>
  <c r="I61" i="63"/>
  <c r="L61" i="60"/>
  <c r="L57" i="60"/>
  <c r="K61" i="60"/>
  <c r="K57" i="60"/>
  <c r="I57" i="61"/>
  <c r="I53" i="61"/>
  <c r="Q114" i="42"/>
  <c r="Q25" i="42"/>
  <c r="M74" i="48"/>
  <c r="M70" i="48"/>
  <c r="F110" i="51"/>
  <c r="F106" i="51"/>
  <c r="H36" i="55"/>
  <c r="H39" i="55" s="1"/>
  <c r="H40" i="55" s="1"/>
  <c r="I119" i="42"/>
  <c r="I115" i="42"/>
  <c r="Q32" i="54"/>
  <c r="Q33" i="54" s="1"/>
  <c r="Q27" i="54"/>
  <c r="M168" i="30"/>
  <c r="M164" i="30"/>
  <c r="I88" i="33"/>
  <c r="I84" i="33"/>
  <c r="G163" i="30"/>
  <c r="G77" i="30"/>
  <c r="M127" i="39"/>
  <c r="M130" i="39" s="1"/>
  <c r="M131" i="39" s="1"/>
  <c r="J95" i="21"/>
  <c r="J99" i="21"/>
  <c r="L103" i="21"/>
  <c r="L104" i="21" s="1"/>
  <c r="L100" i="21"/>
  <c r="H25" i="6"/>
  <c r="H22" i="6"/>
  <c r="D25" i="43"/>
  <c r="D17" i="43"/>
  <c r="G17" i="50"/>
  <c r="G25" i="50"/>
  <c r="D25" i="44"/>
  <c r="D17" i="44"/>
  <c r="D25" i="32"/>
  <c r="D17" i="32"/>
  <c r="D25" i="40"/>
  <c r="D17" i="40"/>
  <c r="G25" i="19"/>
  <c r="G17" i="19"/>
  <c r="D25" i="16"/>
  <c r="D17" i="16"/>
  <c r="D17" i="22"/>
  <c r="D25" i="22"/>
  <c r="D17" i="5"/>
  <c r="D25" i="5"/>
  <c r="G83" i="84"/>
  <c r="G79" i="84"/>
  <c r="K93" i="83"/>
  <c r="K97" i="83"/>
  <c r="K71" i="72"/>
  <c r="K67" i="72"/>
  <c r="Q123" i="12"/>
  <c r="G17" i="46"/>
  <c r="G25" i="46"/>
  <c r="O75" i="95"/>
  <c r="O78" i="95" s="1"/>
  <c r="O79" i="95" s="1"/>
  <c r="F19" i="84"/>
  <c r="F78" i="84"/>
  <c r="H71" i="72"/>
  <c r="H67" i="72"/>
  <c r="O147" i="68"/>
  <c r="O151" i="68"/>
  <c r="D57" i="61"/>
  <c r="D53" i="61"/>
  <c r="O75" i="58"/>
  <c r="O79" i="58"/>
  <c r="E74" i="48"/>
  <c r="E70" i="48"/>
  <c r="O126" i="39"/>
  <c r="O122" i="39"/>
  <c r="J231" i="12"/>
  <c r="J227" i="12"/>
  <c r="E25" i="23"/>
  <c r="E17" i="23"/>
  <c r="M44" i="88"/>
  <c r="M40" i="88"/>
  <c r="D18" i="93"/>
  <c r="D83" i="93"/>
  <c r="N19" i="84"/>
  <c r="N78" i="84"/>
  <c r="G53" i="86"/>
  <c r="G57" i="86"/>
  <c r="G38" i="87"/>
  <c r="G39" i="87" s="1"/>
  <c r="G35" i="87"/>
  <c r="I88" i="90"/>
  <c r="I22" i="90"/>
  <c r="D52" i="86"/>
  <c r="D15" i="86"/>
  <c r="H83" i="84"/>
  <c r="H79" i="84"/>
  <c r="J62" i="89"/>
  <c r="J58" i="89"/>
  <c r="G70" i="81"/>
  <c r="G66" i="81"/>
  <c r="D18" i="81"/>
  <c r="D65" i="81"/>
  <c r="I79" i="82"/>
  <c r="I75" i="82"/>
  <c r="O35" i="76"/>
  <c r="O38" i="76" s="1"/>
  <c r="O39" i="76" s="1"/>
  <c r="E78" i="74"/>
  <c r="E82" i="74"/>
  <c r="I19" i="76"/>
  <c r="I29" i="76"/>
  <c r="K66" i="81"/>
  <c r="K70" i="81"/>
  <c r="L62" i="89"/>
  <c r="L58" i="89"/>
  <c r="F67" i="72"/>
  <c r="F71" i="72"/>
  <c r="O86" i="69"/>
  <c r="O82" i="69"/>
  <c r="I71" i="71"/>
  <c r="I75" i="71"/>
  <c r="F35" i="76"/>
  <c r="F38" i="76" s="1"/>
  <c r="F39" i="76" s="1"/>
  <c r="Q19" i="71"/>
  <c r="Q70" i="71"/>
  <c r="N101" i="62"/>
  <c r="N105" i="62"/>
  <c r="F61" i="63"/>
  <c r="F57" i="63"/>
  <c r="D119" i="66"/>
  <c r="D115" i="66"/>
  <c r="I100" i="62"/>
  <c r="I16" i="62"/>
  <c r="F57" i="61"/>
  <c r="F53" i="61"/>
  <c r="M94" i="64"/>
  <c r="M90" i="64"/>
  <c r="E69" i="59"/>
  <c r="E65" i="59"/>
  <c r="L69" i="59"/>
  <c r="L65" i="59"/>
  <c r="H106" i="70"/>
  <c r="H110" i="70"/>
  <c r="K22" i="54"/>
  <c r="K26" i="54"/>
  <c r="I26" i="54"/>
  <c r="I22" i="54"/>
  <c r="M110" i="51"/>
  <c r="M106" i="51"/>
  <c r="F83" i="58"/>
  <c r="F84" i="58" s="1"/>
  <c r="F80" i="58"/>
  <c r="O115" i="42"/>
  <c r="O119" i="42"/>
  <c r="O111" i="51"/>
  <c r="O114" i="51" s="1"/>
  <c r="O115" i="51" s="1"/>
  <c r="M124" i="36"/>
  <c r="M128" i="36"/>
  <c r="K128" i="36"/>
  <c r="K124" i="36"/>
  <c r="D54" i="27"/>
  <c r="D115" i="27"/>
  <c r="E168" i="30"/>
  <c r="E164" i="30"/>
  <c r="D99" i="21"/>
  <c r="D95" i="21"/>
  <c r="M94" i="24"/>
  <c r="M98" i="24"/>
  <c r="O99" i="21"/>
  <c r="O95" i="21"/>
  <c r="Q17" i="9"/>
  <c r="Q94" i="9" s="1"/>
  <c r="Q125" i="12"/>
  <c r="Q226" i="12" s="1"/>
  <c r="D245" i="18"/>
  <c r="D249" i="18"/>
  <c r="M226" i="12"/>
  <c r="M123" i="12"/>
  <c r="F25" i="6"/>
  <c r="F22" i="6"/>
  <c r="G25" i="53"/>
  <c r="G17" i="53"/>
  <c r="D17" i="46"/>
  <c r="D25" i="46"/>
  <c r="D17" i="41"/>
  <c r="D25" i="41"/>
  <c r="E25" i="29"/>
  <c r="E17" i="29"/>
  <c r="D17" i="31"/>
  <c r="D25" i="31"/>
  <c r="E25" i="19"/>
  <c r="E17" i="19"/>
  <c r="G17" i="26"/>
  <c r="G25" i="26"/>
  <c r="E25" i="17"/>
  <c r="E17" i="17"/>
  <c r="E17" i="4"/>
  <c r="E25" i="4"/>
  <c r="M74" i="95"/>
  <c r="M70" i="95"/>
  <c r="E24" i="91"/>
  <c r="E28" i="91"/>
  <c r="J81" i="80"/>
  <c r="J77" i="80"/>
  <c r="I93" i="83"/>
  <c r="I97" i="83"/>
  <c r="F93" i="83"/>
  <c r="F97" i="83"/>
  <c r="L81" i="80"/>
  <c r="L77" i="80"/>
  <c r="K151" i="68"/>
  <c r="K147" i="68"/>
  <c r="F105" i="62"/>
  <c r="F101" i="62"/>
  <c r="F70" i="48"/>
  <c r="F74" i="48"/>
  <c r="D25" i="98"/>
  <c r="D17" i="98"/>
  <c r="G123" i="75"/>
  <c r="G119" i="75"/>
  <c r="O81" i="80"/>
  <c r="O77" i="80"/>
  <c r="J16" i="62"/>
  <c r="J100" i="62"/>
  <c r="K25" i="6"/>
  <c r="K22" i="6"/>
  <c r="G25" i="32"/>
  <c r="G17" i="32"/>
  <c r="D99" i="92"/>
  <c r="D95" i="92"/>
  <c r="Q10" i="92"/>
  <c r="Q21" i="92" s="1"/>
  <c r="L26" i="94"/>
  <c r="L22" i="94"/>
  <c r="K28" i="91"/>
  <c r="K24" i="91"/>
  <c r="I26" i="94"/>
  <c r="I22" i="94"/>
  <c r="G28" i="91"/>
  <c r="G24" i="91"/>
  <c r="Q18" i="93"/>
  <c r="Q83" i="93"/>
  <c r="O88" i="93"/>
  <c r="O84" i="93"/>
  <c r="H66" i="89"/>
  <c r="H67" i="89" s="1"/>
  <c r="H63" i="89"/>
  <c r="J88" i="90"/>
  <c r="J22" i="90"/>
  <c r="D93" i="90"/>
  <c r="D89" i="90"/>
  <c r="L38" i="87"/>
  <c r="L39" i="87" s="1"/>
  <c r="L35" i="87"/>
  <c r="M57" i="86"/>
  <c r="M53" i="86"/>
  <c r="N44" i="88"/>
  <c r="N40" i="88"/>
  <c r="G32" i="85"/>
  <c r="G28" i="85"/>
  <c r="K44" i="88"/>
  <c r="K40" i="88"/>
  <c r="M93" i="90"/>
  <c r="M89" i="90"/>
  <c r="F79" i="82"/>
  <c r="F75" i="82"/>
  <c r="L36" i="78"/>
  <c r="L32" i="78"/>
  <c r="K57" i="86"/>
  <c r="K53" i="86"/>
  <c r="F70" i="81"/>
  <c r="F66" i="81"/>
  <c r="K83" i="79"/>
  <c r="K87" i="79"/>
  <c r="Q18" i="81"/>
  <c r="Q65" i="81"/>
  <c r="M79" i="82"/>
  <c r="M75" i="82"/>
  <c r="M70" i="81"/>
  <c r="M66" i="81"/>
  <c r="G75" i="82"/>
  <c r="G79" i="82"/>
  <c r="J32" i="78"/>
  <c r="J36" i="78"/>
  <c r="M34" i="76"/>
  <c r="M30" i="76"/>
  <c r="G34" i="76"/>
  <c r="G30" i="76"/>
  <c r="Q21" i="77"/>
  <c r="Q85" i="77" s="1"/>
  <c r="H49" i="73"/>
  <c r="H53" i="73"/>
  <c r="G49" i="73"/>
  <c r="G53" i="73"/>
  <c r="Q10" i="69"/>
  <c r="Q26" i="69" s="1"/>
  <c r="G75" i="71"/>
  <c r="G71" i="71"/>
  <c r="D110" i="70"/>
  <c r="D106" i="70"/>
  <c r="M53" i="73"/>
  <c r="M49" i="73"/>
  <c r="K53" i="73"/>
  <c r="K49" i="73"/>
  <c r="G58" i="67"/>
  <c r="G62" i="67"/>
  <c r="D89" i="64"/>
  <c r="D34" i="64"/>
  <c r="F69" i="59"/>
  <c r="F65" i="59"/>
  <c r="J57" i="63"/>
  <c r="J61" i="63"/>
  <c r="I69" i="65"/>
  <c r="I65" i="65"/>
  <c r="O57" i="60"/>
  <c r="O61" i="60"/>
  <c r="Q17" i="57"/>
  <c r="Q68" i="57" s="1"/>
  <c r="K35" i="55"/>
  <c r="K31" i="55"/>
  <c r="I73" i="57"/>
  <c r="I69" i="57"/>
  <c r="D74" i="57"/>
  <c r="D77" i="57" s="1"/>
  <c r="D78" i="57" s="1"/>
  <c r="I79" i="56"/>
  <c r="I75" i="56"/>
  <c r="M119" i="42"/>
  <c r="M115" i="42"/>
  <c r="G79" i="58"/>
  <c r="G75" i="58"/>
  <c r="D83" i="33"/>
  <c r="D29" i="33"/>
  <c r="J88" i="33"/>
  <c r="J84" i="33"/>
  <c r="M88" i="33"/>
  <c r="M84" i="33"/>
  <c r="F27" i="36"/>
  <c r="F123" i="36"/>
  <c r="N92" i="33"/>
  <c r="N93" i="33" s="1"/>
  <c r="N89" i="33"/>
  <c r="L54" i="27"/>
  <c r="L115" i="27"/>
  <c r="D226" i="12"/>
  <c r="D123" i="12"/>
  <c r="O25" i="6"/>
  <c r="O22" i="6"/>
  <c r="L263" i="3"/>
  <c r="L267" i="3"/>
  <c r="I25" i="6"/>
  <c r="I22" i="6"/>
  <c r="O267" i="3"/>
  <c r="O263" i="3"/>
  <c r="I267" i="3"/>
  <c r="I263" i="3"/>
  <c r="G25" i="49"/>
  <c r="G17" i="49"/>
  <c r="E25" i="50"/>
  <c r="E17" i="50"/>
  <c r="G17" i="38"/>
  <c r="G25" i="38"/>
  <c r="D17" i="29"/>
  <c r="D25" i="29"/>
  <c r="E17" i="28"/>
  <c r="E25" i="28"/>
  <c r="D25" i="19"/>
  <c r="D17" i="19"/>
  <c r="D25" i="11"/>
  <c r="D17" i="11"/>
  <c r="G17" i="13"/>
  <c r="G25" i="13"/>
  <c r="G17" i="8"/>
  <c r="G25" i="8"/>
  <c r="F29" i="91"/>
  <c r="F32" i="91" s="1"/>
  <c r="F33" i="91" s="1"/>
  <c r="Q57" i="61"/>
  <c r="Q53" i="61"/>
  <c r="N61" i="60"/>
  <c r="N57" i="60"/>
  <c r="H79" i="56"/>
  <c r="H75" i="56"/>
  <c r="F75" i="56"/>
  <c r="F79" i="56"/>
  <c r="J143" i="18"/>
  <c r="J244" i="18"/>
  <c r="L225" i="15"/>
  <c r="L221" i="15"/>
  <c r="D267" i="3"/>
  <c r="D263" i="3"/>
  <c r="D25" i="53"/>
  <c r="D17" i="53"/>
  <c r="L93" i="90"/>
  <c r="L89" i="90"/>
  <c r="E44" i="88"/>
  <c r="E40" i="88"/>
  <c r="E32" i="85"/>
  <c r="E28" i="85"/>
  <c r="L87" i="79"/>
  <c r="L83" i="79"/>
  <c r="K43" i="75"/>
  <c r="K118" i="75"/>
  <c r="M22" i="6"/>
  <c r="M25" i="6"/>
  <c r="D25" i="96"/>
  <c r="D17" i="96"/>
  <c r="O23" i="91"/>
  <c r="O15" i="91"/>
  <c r="M26" i="94"/>
  <c r="M22" i="94"/>
  <c r="J84" i="93"/>
  <c r="J88" i="93"/>
  <c r="J74" i="95"/>
  <c r="J70" i="95"/>
  <c r="I44" i="88"/>
  <c r="I40" i="88"/>
  <c r="L83" i="84"/>
  <c r="L79" i="84"/>
  <c r="E93" i="90"/>
  <c r="E89" i="90"/>
  <c r="Q17" i="85"/>
  <c r="Q27" i="85"/>
  <c r="N93" i="90"/>
  <c r="N89" i="90"/>
  <c r="I66" i="81"/>
  <c r="I70" i="81"/>
  <c r="H66" i="81"/>
  <c r="H70" i="81"/>
  <c r="I82" i="79"/>
  <c r="I15" i="79"/>
  <c r="Q20" i="81"/>
  <c r="I28" i="85"/>
  <c r="I32" i="85"/>
  <c r="O97" i="83"/>
  <c r="O93" i="83"/>
  <c r="E82" i="79"/>
  <c r="E15" i="79"/>
  <c r="E67" i="72"/>
  <c r="E71" i="72"/>
  <c r="Q50" i="70"/>
  <c r="Q105" i="70" s="1"/>
  <c r="L118" i="75"/>
  <c r="L43" i="75"/>
  <c r="E75" i="71"/>
  <c r="E71" i="71"/>
  <c r="I71" i="72"/>
  <c r="I67" i="72"/>
  <c r="D57" i="60"/>
  <c r="D61" i="60"/>
  <c r="O69" i="59"/>
  <c r="O65" i="59"/>
  <c r="E94" i="64"/>
  <c r="E90" i="64"/>
  <c r="M65" i="59"/>
  <c r="M69" i="59"/>
  <c r="L26" i="54"/>
  <c r="L22" i="54"/>
  <c r="L74" i="56"/>
  <c r="L15" i="56"/>
  <c r="H106" i="51"/>
  <c r="H110" i="51"/>
  <c r="D121" i="39"/>
  <c r="D31" i="39"/>
  <c r="L88" i="33"/>
  <c r="L84" i="33"/>
  <c r="Q56" i="27"/>
  <c r="Q115" i="27" s="1"/>
  <c r="E37" i="24"/>
  <c r="E93" i="24"/>
  <c r="M143" i="18"/>
  <c r="M244" i="18"/>
  <c r="F221" i="15"/>
  <c r="F225" i="15"/>
  <c r="M98" i="9"/>
  <c r="M95" i="9"/>
  <c r="N231" i="12"/>
  <c r="N227" i="12"/>
  <c r="N153" i="3"/>
  <c r="N262" i="3"/>
  <c r="G267" i="3"/>
  <c r="G263" i="3"/>
  <c r="H267" i="3"/>
  <c r="H263" i="3"/>
  <c r="G25" i="98"/>
  <c r="G17" i="98"/>
  <c r="G25" i="47"/>
  <c r="G17" i="47"/>
  <c r="D25" i="50"/>
  <c r="D17" i="50"/>
  <c r="G17" i="52"/>
  <c r="G25" i="52"/>
  <c r="G25" i="34"/>
  <c r="G17" i="34"/>
  <c r="G25" i="35"/>
  <c r="G17" i="35"/>
  <c r="G17" i="22"/>
  <c r="G25" i="22"/>
  <c r="E17" i="26"/>
  <c r="E25" i="26"/>
  <c r="E17" i="13"/>
  <c r="E25" i="13"/>
  <c r="G25" i="7"/>
  <c r="G17" i="7"/>
  <c r="E38" i="87"/>
  <c r="E39" i="87" s="1"/>
  <c r="E35" i="87"/>
  <c r="O71" i="72"/>
  <c r="O67" i="72"/>
  <c r="K20" i="67"/>
  <c r="K57" i="67"/>
  <c r="K61" i="63"/>
  <c r="K57" i="63"/>
  <c r="G61" i="60"/>
  <c r="G57" i="60"/>
  <c r="L35" i="55"/>
  <c r="L31" i="55"/>
  <c r="E25" i="35"/>
  <c r="E17" i="35"/>
  <c r="F49" i="73"/>
  <c r="F53" i="73"/>
  <c r="M19" i="71"/>
  <c r="M70" i="71"/>
  <c r="Q89" i="64"/>
  <c r="Q34" i="64"/>
  <c r="G35" i="55"/>
  <c r="G31" i="55"/>
  <c r="L168" i="30"/>
  <c r="L164" i="30"/>
  <c r="N94" i="24"/>
  <c r="N98" i="24"/>
  <c r="I95" i="9"/>
  <c r="I98" i="9"/>
  <c r="G31" i="6"/>
  <c r="G32" i="6" s="1"/>
  <c r="G26" i="6"/>
  <c r="E17" i="46"/>
  <c r="E25" i="46"/>
  <c r="Q24" i="91"/>
  <c r="Q28" i="91"/>
  <c r="N70" i="95"/>
  <c r="N74" i="95"/>
  <c r="J79" i="84"/>
  <c r="J83" i="84"/>
  <c r="N61" i="86"/>
  <c r="N62" i="86" s="1"/>
  <c r="N58" i="86"/>
  <c r="K27" i="85"/>
  <c r="K17" i="85"/>
  <c r="H34" i="87"/>
  <c r="H30" i="87"/>
  <c r="H53" i="86"/>
  <c r="H57" i="86"/>
  <c r="I77" i="80"/>
  <c r="I81" i="80"/>
  <c r="D85" i="77"/>
  <c r="D19" i="77"/>
  <c r="O70" i="81"/>
  <c r="O66" i="81"/>
  <c r="H32" i="85"/>
  <c r="H28" i="85"/>
  <c r="M31" i="78"/>
  <c r="M15" i="78"/>
  <c r="M90" i="77"/>
  <c r="M86" i="77"/>
  <c r="N36" i="78"/>
  <c r="N32" i="78"/>
  <c r="J79" i="82"/>
  <c r="J75" i="82"/>
  <c r="O119" i="75"/>
  <c r="O123" i="75"/>
  <c r="N85" i="80"/>
  <c r="N86" i="80" s="1"/>
  <c r="N82" i="80"/>
  <c r="Q45" i="75"/>
  <c r="J87" i="79"/>
  <c r="J83" i="79"/>
  <c r="I82" i="74"/>
  <c r="I78" i="74"/>
  <c r="O53" i="73"/>
  <c r="O49" i="73"/>
  <c r="L53" i="73"/>
  <c r="L49" i="73"/>
  <c r="M146" i="68"/>
  <c r="M76" i="68"/>
  <c r="E53" i="73"/>
  <c r="E49" i="73"/>
  <c r="H76" i="68"/>
  <c r="H146" i="68"/>
  <c r="I95" i="64"/>
  <c r="I98" i="64" s="1"/>
  <c r="I99" i="64" s="1"/>
  <c r="Q10" i="66"/>
  <c r="Q52" i="66" s="1"/>
  <c r="G94" i="64"/>
  <c r="G90" i="64"/>
  <c r="M58" i="67"/>
  <c r="M62" i="67"/>
  <c r="Q17" i="58"/>
  <c r="Q74" i="58" s="1"/>
  <c r="H74" i="58"/>
  <c r="H15" i="58"/>
  <c r="N65" i="59"/>
  <c r="N69" i="59"/>
  <c r="J57" i="61"/>
  <c r="J53" i="61"/>
  <c r="Q17" i="56"/>
  <c r="Q74" i="56" s="1"/>
  <c r="L79" i="58"/>
  <c r="L75" i="58"/>
  <c r="M22" i="54"/>
  <c r="M26" i="54"/>
  <c r="H73" i="57"/>
  <c r="H69" i="57"/>
  <c r="O22" i="45"/>
  <c r="O100" i="45"/>
  <c r="F15" i="55"/>
  <c r="F30" i="55"/>
  <c r="K74" i="48"/>
  <c r="K70" i="48"/>
  <c r="L101" i="45"/>
  <c r="L105" i="45"/>
  <c r="Q10" i="39"/>
  <c r="Q30" i="39" s="1"/>
  <c r="I106" i="51"/>
  <c r="I110" i="51"/>
  <c r="G110" i="51"/>
  <c r="G106" i="51"/>
  <c r="E32" i="54"/>
  <c r="E33" i="54" s="1"/>
  <c r="E27" i="54"/>
  <c r="J77" i="30"/>
  <c r="J163" i="30"/>
  <c r="H84" i="33"/>
  <c r="H88" i="33"/>
  <c r="G116" i="27"/>
  <c r="G120" i="27"/>
  <c r="N143" i="18"/>
  <c r="N244" i="18"/>
  <c r="O120" i="27"/>
  <c r="O116" i="27"/>
  <c r="F163" i="30"/>
  <c r="F77" i="30"/>
  <c r="D95" i="9"/>
  <c r="D98" i="9"/>
  <c r="F95" i="21"/>
  <c r="F99" i="21"/>
  <c r="H98" i="9"/>
  <c r="H95" i="9"/>
  <c r="L123" i="12"/>
  <c r="L226" i="12"/>
  <c r="J25" i="6"/>
  <c r="J22" i="6"/>
  <c r="G25" i="96"/>
  <c r="G17" i="96"/>
  <c r="E25" i="53"/>
  <c r="E17" i="53"/>
  <c r="E25" i="43"/>
  <c r="E17" i="43"/>
  <c r="E17" i="38"/>
  <c r="E25" i="38"/>
  <c r="E17" i="34"/>
  <c r="E25" i="34"/>
  <c r="G25" i="25"/>
  <c r="G17" i="25"/>
  <c r="E17" i="22"/>
  <c r="E25" i="22"/>
  <c r="G25" i="14"/>
  <c r="G17" i="14"/>
  <c r="D17" i="13"/>
  <c r="D25" i="13"/>
  <c r="G17" i="4"/>
  <c r="G25" i="4"/>
  <c r="Q69" i="95"/>
  <c r="Q17" i="95"/>
  <c r="N53" i="73"/>
  <c r="N49" i="73"/>
  <c r="I35" i="55"/>
  <c r="I31" i="55"/>
  <c r="D163" i="30"/>
  <c r="D77" i="30"/>
  <c r="G26" i="54"/>
  <c r="G22" i="54"/>
  <c r="G37" i="24"/>
  <c r="G93" i="24"/>
  <c r="M267" i="3"/>
  <c r="M263" i="3"/>
  <c r="N28" i="91"/>
  <c r="N24" i="91"/>
  <c r="F44" i="88"/>
  <c r="F40" i="88"/>
  <c r="L44" i="88"/>
  <c r="L40" i="88"/>
  <c r="I83" i="84"/>
  <c r="I79" i="84"/>
  <c r="F87" i="79"/>
  <c r="F83" i="79"/>
  <c r="F57" i="67"/>
  <c r="F20" i="67"/>
  <c r="N36" i="55"/>
  <c r="N39" i="55" s="1"/>
  <c r="N40" i="55" s="1"/>
  <c r="H100" i="45"/>
  <c r="H22" i="45"/>
  <c r="E226" i="12"/>
  <c r="E123" i="12"/>
  <c r="D25" i="49"/>
  <c r="D17" i="49"/>
  <c r="K84" i="93"/>
  <c r="K88" i="93"/>
  <c r="N99" i="92"/>
  <c r="N95" i="92"/>
  <c r="F88" i="93"/>
  <c r="F84" i="93"/>
  <c r="O32" i="85"/>
  <c r="O28" i="85"/>
  <c r="H28" i="91"/>
  <c r="H24" i="91"/>
  <c r="E99" i="92"/>
  <c r="E95" i="92"/>
  <c r="I62" i="89"/>
  <c r="I58" i="89"/>
  <c r="F75" i="95"/>
  <c r="F78" i="95" s="1"/>
  <c r="F79" i="95" s="1"/>
  <c r="E62" i="89"/>
  <c r="E58" i="89"/>
  <c r="G93" i="90"/>
  <c r="G89" i="90"/>
  <c r="L17" i="85"/>
  <c r="L27" i="85"/>
  <c r="K34" i="87"/>
  <c r="K30" i="87"/>
  <c r="Q19" i="84"/>
  <c r="Q78" i="84"/>
  <c r="M32" i="85"/>
  <c r="M28" i="85"/>
  <c r="H77" i="80"/>
  <c r="H81" i="80"/>
  <c r="D74" i="82"/>
  <c r="D20" i="82"/>
  <c r="D29" i="76"/>
  <c r="D19" i="76"/>
  <c r="O31" i="78"/>
  <c r="O15" i="78"/>
  <c r="N30" i="76"/>
  <c r="N34" i="76"/>
  <c r="M123" i="75"/>
  <c r="M119" i="75"/>
  <c r="J71" i="71"/>
  <c r="J75" i="71"/>
  <c r="N17" i="74"/>
  <c r="N77" i="74"/>
  <c r="M81" i="80"/>
  <c r="M77" i="80"/>
  <c r="L76" i="68"/>
  <c r="L146" i="68"/>
  <c r="J53" i="66"/>
  <c r="J114" i="66"/>
  <c r="O100" i="62"/>
  <c r="O16" i="62"/>
  <c r="H61" i="63"/>
  <c r="H57" i="63"/>
  <c r="H53" i="66"/>
  <c r="H114" i="66"/>
  <c r="D57" i="63"/>
  <c r="D61" i="63"/>
  <c r="G86" i="69"/>
  <c r="G82" i="69"/>
  <c r="H61" i="60"/>
  <c r="H57" i="60"/>
  <c r="N53" i="61"/>
  <c r="N57" i="61"/>
  <c r="N94" i="64"/>
  <c r="N90" i="64"/>
  <c r="G69" i="57"/>
  <c r="G73" i="57"/>
  <c r="M61" i="60"/>
  <c r="M57" i="60"/>
  <c r="Q50" i="51"/>
  <c r="Q105" i="51" s="1"/>
  <c r="J69" i="59"/>
  <c r="J65" i="59"/>
  <c r="N74" i="48"/>
  <c r="N70" i="48"/>
  <c r="H21" i="54"/>
  <c r="H15" i="54"/>
  <c r="E79" i="56"/>
  <c r="E75" i="56"/>
  <c r="L31" i="39"/>
  <c r="L121" i="39"/>
  <c r="I121" i="39"/>
  <c r="I31" i="39"/>
  <c r="J116" i="27"/>
  <c r="J120" i="27"/>
  <c r="F83" i="33"/>
  <c r="F29" i="33"/>
  <c r="K88" i="33"/>
  <c r="K84" i="33"/>
  <c r="D37" i="24"/>
  <c r="D93" i="24"/>
  <c r="L98" i="24"/>
  <c r="L94" i="24"/>
  <c r="J221" i="15"/>
  <c r="J225" i="15"/>
  <c r="E244" i="18"/>
  <c r="E143" i="18"/>
  <c r="E25" i="98"/>
  <c r="E17" i="98"/>
  <c r="E25" i="49"/>
  <c r="E17" i="49"/>
  <c r="E25" i="37"/>
  <c r="E17" i="37"/>
  <c r="E17" i="40"/>
  <c r="E25" i="40"/>
  <c r="G17" i="31"/>
  <c r="G25" i="31"/>
  <c r="G25" i="23"/>
  <c r="G17" i="23"/>
  <c r="D17" i="17"/>
  <c r="D25" i="17"/>
  <c r="E25" i="14"/>
  <c r="E17" i="14"/>
  <c r="E17" i="8"/>
  <c r="E25" i="8"/>
  <c r="D25" i="4"/>
  <c r="D17" i="4"/>
  <c r="Q105" i="45" l="1"/>
  <c r="Q101" i="45"/>
  <c r="Q221" i="15"/>
  <c r="Q225" i="15"/>
  <c r="Q231" i="12"/>
  <c r="Q227" i="12"/>
  <c r="Q75" i="82"/>
  <c r="Q79" i="82"/>
  <c r="Q99" i="21"/>
  <c r="Q95" i="21"/>
  <c r="Q93" i="90"/>
  <c r="Q89" i="90"/>
  <c r="Q120" i="27"/>
  <c r="Q116" i="27"/>
  <c r="K92" i="33"/>
  <c r="K93" i="33" s="1"/>
  <c r="K89" i="33"/>
  <c r="H77" i="57"/>
  <c r="H78" i="57" s="1"/>
  <c r="H74" i="57"/>
  <c r="K32" i="85"/>
  <c r="K28" i="85"/>
  <c r="K32" i="91"/>
  <c r="K33" i="91" s="1"/>
  <c r="K29" i="91"/>
  <c r="E85" i="80"/>
  <c r="E86" i="80" s="1"/>
  <c r="E82" i="80"/>
  <c r="F58" i="86"/>
  <c r="F61" i="86"/>
  <c r="F62" i="86" s="1"/>
  <c r="G100" i="21"/>
  <c r="G103" i="21" s="1"/>
  <c r="G104" i="21" s="1"/>
  <c r="L74" i="81"/>
  <c r="L75" i="81" s="1"/>
  <c r="L71" i="81"/>
  <c r="N74" i="57"/>
  <c r="N77" i="57"/>
  <c r="N78" i="57" s="1"/>
  <c r="I78" i="95"/>
  <c r="I79" i="95" s="1"/>
  <c r="I75" i="95"/>
  <c r="J114" i="70"/>
  <c r="J115" i="70" s="1"/>
  <c r="J111" i="70"/>
  <c r="N95" i="64"/>
  <c r="N98" i="64" s="1"/>
  <c r="N99" i="64" s="1"/>
  <c r="H65" i="63"/>
  <c r="H66" i="63" s="1"/>
  <c r="H62" i="63"/>
  <c r="E66" i="89"/>
  <c r="E67" i="89" s="1"/>
  <c r="E63" i="89"/>
  <c r="F89" i="93"/>
  <c r="F92" i="93" s="1"/>
  <c r="F93" i="93" s="1"/>
  <c r="N29" i="91"/>
  <c r="N32" i="91" s="1"/>
  <c r="N33" i="91" s="1"/>
  <c r="N57" i="73"/>
  <c r="N58" i="73" s="1"/>
  <c r="N54" i="73"/>
  <c r="G30" i="25"/>
  <c r="G26" i="25"/>
  <c r="J26" i="6"/>
  <c r="J31" i="6" s="1"/>
  <c r="J32" i="6" s="1"/>
  <c r="O124" i="27"/>
  <c r="O125" i="27" s="1"/>
  <c r="O121" i="27"/>
  <c r="G111" i="51"/>
  <c r="G114" i="51" s="1"/>
  <c r="G115" i="51" s="1"/>
  <c r="H79" i="58"/>
  <c r="H75" i="58"/>
  <c r="E54" i="73"/>
  <c r="E57" i="73" s="1"/>
  <c r="E58" i="73" s="1"/>
  <c r="M75" i="71"/>
  <c r="M71" i="71"/>
  <c r="K62" i="67"/>
  <c r="K58" i="67"/>
  <c r="G26" i="22"/>
  <c r="G30" i="22"/>
  <c r="F226" i="15"/>
  <c r="F229" i="15" s="1"/>
  <c r="F230" i="15" s="1"/>
  <c r="N97" i="90"/>
  <c r="N98" i="90" s="1"/>
  <c r="N94" i="90"/>
  <c r="L91" i="79"/>
  <c r="L92" i="79" s="1"/>
  <c r="L88" i="79"/>
  <c r="L226" i="15"/>
  <c r="L229" i="15"/>
  <c r="L230" i="15" s="1"/>
  <c r="I26" i="6"/>
  <c r="I31" i="6" s="1"/>
  <c r="I32" i="6" s="1"/>
  <c r="I80" i="56"/>
  <c r="I83" i="56" s="1"/>
  <c r="I84" i="56" s="1"/>
  <c r="J62" i="63"/>
  <c r="J65" i="63" s="1"/>
  <c r="J66" i="63" s="1"/>
  <c r="K91" i="79"/>
  <c r="K92" i="79" s="1"/>
  <c r="K88" i="79"/>
  <c r="K152" i="68"/>
  <c r="K155" i="68" s="1"/>
  <c r="K156" i="68" s="1"/>
  <c r="M75" i="95"/>
  <c r="M78" i="95"/>
  <c r="M79" i="95" s="1"/>
  <c r="E26" i="29"/>
  <c r="E30" i="29"/>
  <c r="M114" i="51"/>
  <c r="M115" i="51" s="1"/>
  <c r="M111" i="51"/>
  <c r="M95" i="64"/>
  <c r="M98" i="64" s="1"/>
  <c r="M99" i="64" s="1"/>
  <c r="G74" i="81"/>
  <c r="G75" i="81" s="1"/>
  <c r="G71" i="81"/>
  <c r="O130" i="39"/>
  <c r="O131" i="39" s="1"/>
  <c r="O127" i="39"/>
  <c r="G84" i="84"/>
  <c r="G87" i="84" s="1"/>
  <c r="G88" i="84" s="1"/>
  <c r="D26" i="32"/>
  <c r="D30" i="32"/>
  <c r="I120" i="42"/>
  <c r="I123" i="42" s="1"/>
  <c r="I124" i="42" s="1"/>
  <c r="K62" i="60"/>
  <c r="K65" i="60" s="1"/>
  <c r="K66" i="60" s="1"/>
  <c r="E111" i="70"/>
  <c r="E114" i="70" s="1"/>
  <c r="E115" i="70" s="1"/>
  <c r="H97" i="90"/>
  <c r="H98" i="90" s="1"/>
  <c r="H94" i="90"/>
  <c r="K70" i="59"/>
  <c r="K73" i="59"/>
  <c r="K74" i="59" s="1"/>
  <c r="E82" i="69"/>
  <c r="E86" i="69"/>
  <c r="E38" i="76"/>
  <c r="E39" i="76" s="1"/>
  <c r="E35" i="76"/>
  <c r="N74" i="81"/>
  <c r="N75" i="81" s="1"/>
  <c r="N71" i="81"/>
  <c r="O73" i="65"/>
  <c r="O74" i="65" s="1"/>
  <c r="O70" i="65"/>
  <c r="E26" i="44"/>
  <c r="E30" i="44"/>
  <c r="O250" i="18"/>
  <c r="O253" i="18" s="1"/>
  <c r="O254" i="18" s="1"/>
  <c r="E83" i="58"/>
  <c r="E84" i="58" s="1"/>
  <c r="E80" i="58"/>
  <c r="H90" i="77"/>
  <c r="H86" i="77"/>
  <c r="L62" i="67"/>
  <c r="L58" i="67"/>
  <c r="D30" i="38"/>
  <c r="D26" i="38"/>
  <c r="I103" i="21"/>
  <c r="I104" i="21" s="1"/>
  <c r="I100" i="21"/>
  <c r="N27" i="54"/>
  <c r="N32" i="54" s="1"/>
  <c r="N33" i="54" s="1"/>
  <c r="E61" i="61"/>
  <c r="E62" i="61" s="1"/>
  <c r="E58" i="61"/>
  <c r="J57" i="73"/>
  <c r="J58" i="73" s="1"/>
  <c r="J54" i="73"/>
  <c r="K85" i="80"/>
  <c r="K86" i="80" s="1"/>
  <c r="K82" i="80"/>
  <c r="K95" i="92"/>
  <c r="K99" i="92"/>
  <c r="K130" i="39"/>
  <c r="K131" i="39" s="1"/>
  <c r="K127" i="39"/>
  <c r="E30" i="7"/>
  <c r="E26" i="7"/>
  <c r="Q143" i="18"/>
  <c r="Q244" i="18"/>
  <c r="H74" i="48"/>
  <c r="H70" i="48"/>
  <c r="E106" i="62"/>
  <c r="E109" i="62" s="1"/>
  <c r="E110" i="62" s="1"/>
  <c r="D81" i="80"/>
  <c r="D77" i="80"/>
  <c r="Q267" i="3"/>
  <c r="Q263" i="3"/>
  <c r="G30" i="20"/>
  <c r="G26" i="20"/>
  <c r="I155" i="68"/>
  <c r="I156" i="68" s="1"/>
  <c r="I152" i="68"/>
  <c r="M87" i="69"/>
  <c r="M90" i="69" s="1"/>
  <c r="M91" i="69" s="1"/>
  <c r="G235" i="12"/>
  <c r="G236" i="12" s="1"/>
  <c r="G232" i="12"/>
  <c r="K83" i="56"/>
  <c r="K84" i="56" s="1"/>
  <c r="K80" i="56"/>
  <c r="M229" i="15"/>
  <c r="M230" i="15" s="1"/>
  <c r="M226" i="15"/>
  <c r="N80" i="56"/>
  <c r="N83" i="56" s="1"/>
  <c r="N84" i="56" s="1"/>
  <c r="J73" i="65"/>
  <c r="J74" i="65" s="1"/>
  <c r="J70" i="65"/>
  <c r="D30" i="17"/>
  <c r="D26" i="17"/>
  <c r="O105" i="62"/>
  <c r="O101" i="62"/>
  <c r="M124" i="75"/>
  <c r="M127" i="75" s="1"/>
  <c r="M128" i="75" s="1"/>
  <c r="M36" i="85"/>
  <c r="M37" i="85" s="1"/>
  <c r="M33" i="85"/>
  <c r="N100" i="92"/>
  <c r="N103" i="92" s="1"/>
  <c r="N104" i="92" s="1"/>
  <c r="F62" i="67"/>
  <c r="F58" i="67"/>
  <c r="M273" i="3"/>
  <c r="M274" i="3" s="1"/>
  <c r="M268" i="3"/>
  <c r="Q74" i="95"/>
  <c r="Q70" i="95"/>
  <c r="M32" i="54"/>
  <c r="M33" i="54" s="1"/>
  <c r="M27" i="54"/>
  <c r="M66" i="67"/>
  <c r="M67" i="67" s="1"/>
  <c r="M63" i="67"/>
  <c r="M147" i="68"/>
  <c r="M151" i="68"/>
  <c r="O127" i="75"/>
  <c r="O128" i="75" s="1"/>
  <c r="O124" i="75"/>
  <c r="I102" i="9"/>
  <c r="I103" i="9" s="1"/>
  <c r="I99" i="9"/>
  <c r="F57" i="73"/>
  <c r="F58" i="73" s="1"/>
  <c r="F54" i="73"/>
  <c r="M249" i="18"/>
  <c r="M245" i="18"/>
  <c r="L75" i="56"/>
  <c r="L79" i="56"/>
  <c r="I72" i="72"/>
  <c r="I75" i="72" s="1"/>
  <c r="I76" i="72" s="1"/>
  <c r="I36" i="85"/>
  <c r="I37" i="85" s="1"/>
  <c r="I33" i="85"/>
  <c r="M30" i="94"/>
  <c r="M31" i="94" s="1"/>
  <c r="M27" i="94"/>
  <c r="E36" i="85"/>
  <c r="E37" i="85" s="1"/>
  <c r="E33" i="85"/>
  <c r="M92" i="33"/>
  <c r="M93" i="33" s="1"/>
  <c r="M89" i="33"/>
  <c r="J40" i="78"/>
  <c r="J41" i="78" s="1"/>
  <c r="J37" i="78"/>
  <c r="O82" i="80"/>
  <c r="O85" i="80" s="1"/>
  <c r="O86" i="80" s="1"/>
  <c r="L85" i="80"/>
  <c r="L86" i="80" s="1"/>
  <c r="L82" i="80"/>
  <c r="Q95" i="9"/>
  <c r="Q98" i="9"/>
  <c r="K132" i="36"/>
  <c r="K133" i="36" s="1"/>
  <c r="K129" i="36"/>
  <c r="I27" i="54"/>
  <c r="I32" i="54" s="1"/>
  <c r="I33" i="54" s="1"/>
  <c r="F61" i="61"/>
  <c r="F62" i="61" s="1"/>
  <c r="F58" i="61"/>
  <c r="J63" i="89"/>
  <c r="J66" i="89" s="1"/>
  <c r="J67" i="89" s="1"/>
  <c r="E78" i="48"/>
  <c r="E79" i="48" s="1"/>
  <c r="E75" i="48"/>
  <c r="D30" i="44"/>
  <c r="D26" i="44"/>
  <c r="L65" i="60"/>
  <c r="L66" i="60" s="1"/>
  <c r="L62" i="60"/>
  <c r="D26" i="34"/>
  <c r="D30" i="34"/>
  <c r="L249" i="18"/>
  <c r="L245" i="18"/>
  <c r="F119" i="42"/>
  <c r="F115" i="42"/>
  <c r="I119" i="66"/>
  <c r="I115" i="66"/>
  <c r="I57" i="73"/>
  <c r="I58" i="73" s="1"/>
  <c r="I54" i="73"/>
  <c r="G26" i="44"/>
  <c r="G30" i="44"/>
  <c r="F98" i="24"/>
  <c r="F94" i="24"/>
  <c r="E120" i="42"/>
  <c r="E123" i="42" s="1"/>
  <c r="E124" i="42" s="1"/>
  <c r="J62" i="60"/>
  <c r="J65" i="60" s="1"/>
  <c r="J66" i="60" s="1"/>
  <c r="M83" i="74"/>
  <c r="M86" i="74" s="1"/>
  <c r="M87" i="74" s="1"/>
  <c r="F94" i="77"/>
  <c r="F95" i="77" s="1"/>
  <c r="F91" i="77"/>
  <c r="J30" i="94"/>
  <c r="J31" i="94" s="1"/>
  <c r="J27" i="94"/>
  <c r="H235" i="12"/>
  <c r="H236" i="12" s="1"/>
  <c r="H232" i="12"/>
  <c r="E26" i="31"/>
  <c r="E30" i="31"/>
  <c r="N26" i="6"/>
  <c r="N31" i="6" s="1"/>
  <c r="N32" i="6" s="1"/>
  <c r="O132" i="36"/>
  <c r="O133" i="36" s="1"/>
  <c r="O129" i="36"/>
  <c r="L120" i="66"/>
  <c r="L123" i="66" s="1"/>
  <c r="L124" i="66" s="1"/>
  <c r="M97" i="83"/>
  <c r="M93" i="83"/>
  <c r="D97" i="83"/>
  <c r="D93" i="83"/>
  <c r="K78" i="95"/>
  <c r="K79" i="95" s="1"/>
  <c r="K75" i="95"/>
  <c r="D152" i="68"/>
  <c r="D155" i="68"/>
  <c r="D156" i="68" s="1"/>
  <c r="D30" i="26"/>
  <c r="D26" i="26"/>
  <c r="I102" i="24"/>
  <c r="I103" i="24" s="1"/>
  <c r="I99" i="24"/>
  <c r="E65" i="60"/>
  <c r="E66" i="60" s="1"/>
  <c r="E62" i="60"/>
  <c r="H132" i="36"/>
  <c r="H133" i="36" s="1"/>
  <c r="H129" i="36"/>
  <c r="J127" i="39"/>
  <c r="J130" i="39" s="1"/>
  <c r="J131" i="39" s="1"/>
  <c r="L83" i="74"/>
  <c r="L86" i="74" s="1"/>
  <c r="L87" i="74" s="1"/>
  <c r="D83" i="58"/>
  <c r="D84" i="58" s="1"/>
  <c r="D80" i="58"/>
  <c r="O78" i="48"/>
  <c r="O79" i="48" s="1"/>
  <c r="O75" i="48"/>
  <c r="M109" i="62"/>
  <c r="M110" i="62" s="1"/>
  <c r="M106" i="62"/>
  <c r="E26" i="49"/>
  <c r="E30" i="49"/>
  <c r="N249" i="18"/>
  <c r="N245" i="18"/>
  <c r="J249" i="18"/>
  <c r="J245" i="18"/>
  <c r="K48" i="88"/>
  <c r="K49" i="88" s="1"/>
  <c r="K45" i="88"/>
  <c r="O172" i="30"/>
  <c r="O173" i="30" s="1"/>
  <c r="O169" i="30"/>
  <c r="G26" i="5"/>
  <c r="G30" i="5"/>
  <c r="N35" i="87"/>
  <c r="N38" i="87" s="1"/>
  <c r="N39" i="87" s="1"/>
  <c r="G151" i="68"/>
  <c r="G147" i="68"/>
  <c r="J99" i="9"/>
  <c r="J102" i="9" s="1"/>
  <c r="J103" i="9" s="1"/>
  <c r="E26" i="98"/>
  <c r="E30" i="98"/>
  <c r="F84" i="33"/>
  <c r="F88" i="33"/>
  <c r="N78" i="48"/>
  <c r="N79" i="48" s="1"/>
  <c r="N75" i="48"/>
  <c r="J119" i="66"/>
  <c r="J115" i="66"/>
  <c r="N38" i="76"/>
  <c r="N39" i="76" s="1"/>
  <c r="N35" i="76"/>
  <c r="Q83" i="84"/>
  <c r="Q79" i="84"/>
  <c r="K92" i="93"/>
  <c r="K93" i="93" s="1"/>
  <c r="K89" i="93"/>
  <c r="G98" i="24"/>
  <c r="G94" i="24"/>
  <c r="G30" i="4"/>
  <c r="G26" i="4"/>
  <c r="E30" i="38"/>
  <c r="E26" i="38"/>
  <c r="G121" i="27"/>
  <c r="G124" i="27" s="1"/>
  <c r="G125" i="27" s="1"/>
  <c r="Q121" i="39"/>
  <c r="Q31" i="39"/>
  <c r="O74" i="81"/>
  <c r="O75" i="81" s="1"/>
  <c r="O71" i="81"/>
  <c r="O72" i="72"/>
  <c r="O75" i="72" s="1"/>
  <c r="O76" i="72" s="1"/>
  <c r="G30" i="35"/>
  <c r="G26" i="35"/>
  <c r="H268" i="3"/>
  <c r="H273" i="3" s="1"/>
  <c r="H274" i="3" s="1"/>
  <c r="F83" i="56"/>
  <c r="F84" i="56" s="1"/>
  <c r="F80" i="56"/>
  <c r="G26" i="13"/>
  <c r="G30" i="13"/>
  <c r="F73" i="59"/>
  <c r="F74" i="59" s="1"/>
  <c r="F70" i="59"/>
  <c r="G76" i="71"/>
  <c r="G79" i="71" s="1"/>
  <c r="G80" i="71" s="1"/>
  <c r="F71" i="81"/>
  <c r="F74" i="81" s="1"/>
  <c r="F75" i="81" s="1"/>
  <c r="G33" i="85"/>
  <c r="G36" i="85" s="1"/>
  <c r="G37" i="85" s="1"/>
  <c r="L30" i="94"/>
  <c r="L31" i="94" s="1"/>
  <c r="L27" i="94"/>
  <c r="F98" i="83"/>
  <c r="F101" i="83"/>
  <c r="F102" i="83" s="1"/>
  <c r="D30" i="46"/>
  <c r="D26" i="46"/>
  <c r="M129" i="36"/>
  <c r="M132" i="36" s="1"/>
  <c r="M133" i="36" s="1"/>
  <c r="K32" i="54"/>
  <c r="K33" i="54" s="1"/>
  <c r="K27" i="54"/>
  <c r="I79" i="71"/>
  <c r="I80" i="71" s="1"/>
  <c r="I76" i="71"/>
  <c r="E83" i="74"/>
  <c r="E86" i="74" s="1"/>
  <c r="E87" i="74" s="1"/>
  <c r="D88" i="93"/>
  <c r="D84" i="93"/>
  <c r="O83" i="58"/>
  <c r="O84" i="58" s="1"/>
  <c r="O80" i="58"/>
  <c r="G30" i="46"/>
  <c r="G26" i="46"/>
  <c r="D30" i="22"/>
  <c r="D26" i="22"/>
  <c r="G30" i="50"/>
  <c r="G26" i="50"/>
  <c r="I65" i="63"/>
  <c r="I66" i="63" s="1"/>
  <c r="I62" i="63"/>
  <c r="Q67" i="72"/>
  <c r="Q71" i="72"/>
  <c r="D84" i="84"/>
  <c r="D87" i="84" s="1"/>
  <c r="D88" i="84" s="1"/>
  <c r="Q57" i="86"/>
  <c r="Q53" i="86"/>
  <c r="E26" i="25"/>
  <c r="E30" i="25"/>
  <c r="E26" i="5"/>
  <c r="E30" i="5"/>
  <c r="E26" i="41"/>
  <c r="E30" i="41"/>
  <c r="L73" i="57"/>
  <c r="L69" i="57"/>
  <c r="J101" i="83"/>
  <c r="J102" i="83" s="1"/>
  <c r="J98" i="83"/>
  <c r="K97" i="90"/>
  <c r="K98" i="90" s="1"/>
  <c r="K94" i="90"/>
  <c r="M103" i="21"/>
  <c r="M104" i="21" s="1"/>
  <c r="M100" i="21"/>
  <c r="G103" i="92"/>
  <c r="G104" i="92" s="1"/>
  <c r="G100" i="92"/>
  <c r="J109" i="45"/>
  <c r="J110" i="45" s="1"/>
  <c r="J106" i="45"/>
  <c r="G26" i="17"/>
  <c r="G30" i="17"/>
  <c r="D75" i="72"/>
  <c r="D76" i="72" s="1"/>
  <c r="D72" i="72"/>
  <c r="L94" i="77"/>
  <c r="L95" i="77" s="1"/>
  <c r="L91" i="77"/>
  <c r="F103" i="92"/>
  <c r="F104" i="92" s="1"/>
  <c r="F100" i="92"/>
  <c r="F30" i="94"/>
  <c r="F31" i="94" s="1"/>
  <c r="F27" i="94"/>
  <c r="J127" i="75"/>
  <c r="J128" i="75" s="1"/>
  <c r="J124" i="75"/>
  <c r="E71" i="81"/>
  <c r="E74" i="81" s="1"/>
  <c r="E75" i="81" s="1"/>
  <c r="I83" i="58"/>
  <c r="I84" i="58" s="1"/>
  <c r="I80" i="58"/>
  <c r="N124" i="75"/>
  <c r="N127" i="75" s="1"/>
  <c r="N128" i="75" s="1"/>
  <c r="Q62" i="67"/>
  <c r="Q58" i="67"/>
  <c r="E26" i="96"/>
  <c r="E30" i="96"/>
  <c r="L114" i="51"/>
  <c r="L115" i="51" s="1"/>
  <c r="L111" i="51"/>
  <c r="D62" i="67"/>
  <c r="D58" i="67"/>
  <c r="E123" i="75"/>
  <c r="E119" i="75"/>
  <c r="L61" i="86"/>
  <c r="L62" i="86" s="1"/>
  <c r="L58" i="86"/>
  <c r="O89" i="33"/>
  <c r="O92" i="33" s="1"/>
  <c r="O93" i="33" s="1"/>
  <c r="Q40" i="78"/>
  <c r="Q41" i="78" s="1"/>
  <c r="Q37" i="78"/>
  <c r="F40" i="78"/>
  <c r="F41" i="78" s="1"/>
  <c r="F37" i="78"/>
  <c r="N70" i="65"/>
  <c r="N73" i="65" s="1"/>
  <c r="N74" i="65" s="1"/>
  <c r="I229" i="15"/>
  <c r="I230" i="15" s="1"/>
  <c r="I226" i="15"/>
  <c r="J77" i="57"/>
  <c r="J78" i="57" s="1"/>
  <c r="J74" i="57"/>
  <c r="L98" i="64"/>
  <c r="L99" i="64" s="1"/>
  <c r="L95" i="64"/>
  <c r="N130" i="39"/>
  <c r="N131" i="39" s="1"/>
  <c r="N127" i="39"/>
  <c r="Q128" i="36"/>
  <c r="Q124" i="36"/>
  <c r="K58" i="61"/>
  <c r="K61" i="61"/>
  <c r="K62" i="61" s="1"/>
  <c r="K253" i="18"/>
  <c r="K254" i="18" s="1"/>
  <c r="K250" i="18"/>
  <c r="N123" i="66"/>
  <c r="N124" i="66" s="1"/>
  <c r="N120" i="66"/>
  <c r="K103" i="21"/>
  <c r="K104" i="21" s="1"/>
  <c r="K100" i="21"/>
  <c r="I235" i="12"/>
  <c r="I236" i="12" s="1"/>
  <c r="I232" i="12"/>
  <c r="H38" i="76"/>
  <c r="H39" i="76" s="1"/>
  <c r="H35" i="76"/>
  <c r="N111" i="51"/>
  <c r="N114" i="51" s="1"/>
  <c r="N115" i="51" s="1"/>
  <c r="J93" i="90"/>
  <c r="J89" i="90"/>
  <c r="L79" i="71"/>
  <c r="L80" i="71" s="1"/>
  <c r="L76" i="71"/>
  <c r="J124" i="27"/>
  <c r="J125" i="27" s="1"/>
  <c r="J121" i="27"/>
  <c r="H65" i="60"/>
  <c r="H66" i="60" s="1"/>
  <c r="H62" i="60"/>
  <c r="I66" i="89"/>
  <c r="I67" i="89" s="1"/>
  <c r="I63" i="89"/>
  <c r="F88" i="79"/>
  <c r="F91" i="79"/>
  <c r="F92" i="79" s="1"/>
  <c r="H102" i="9"/>
  <c r="H103" i="9" s="1"/>
  <c r="H99" i="9"/>
  <c r="L109" i="45"/>
  <c r="L110" i="45" s="1"/>
  <c r="L106" i="45"/>
  <c r="L57" i="73"/>
  <c r="L58" i="73" s="1"/>
  <c r="L54" i="73"/>
  <c r="J87" i="84"/>
  <c r="J88" i="84" s="1"/>
  <c r="J84" i="84"/>
  <c r="N99" i="24"/>
  <c r="N102" i="24" s="1"/>
  <c r="N103" i="24" s="1"/>
  <c r="E94" i="24"/>
  <c r="E98" i="24"/>
  <c r="L32" i="54"/>
  <c r="L33" i="54" s="1"/>
  <c r="L27" i="54"/>
  <c r="E79" i="71"/>
  <c r="E80" i="71" s="1"/>
  <c r="E76" i="71"/>
  <c r="E97" i="90"/>
  <c r="E98" i="90" s="1"/>
  <c r="E94" i="90"/>
  <c r="O28" i="91"/>
  <c r="O24" i="91"/>
  <c r="E48" i="88"/>
  <c r="E49" i="88" s="1"/>
  <c r="E45" i="88"/>
  <c r="E30" i="50"/>
  <c r="E26" i="50"/>
  <c r="O31" i="6"/>
  <c r="O32" i="6" s="1"/>
  <c r="O26" i="6"/>
  <c r="J92" i="33"/>
  <c r="J93" i="33" s="1"/>
  <c r="J89" i="33"/>
  <c r="I77" i="57"/>
  <c r="I78" i="57" s="1"/>
  <c r="I74" i="57"/>
  <c r="Q81" i="69"/>
  <c r="Q27" i="69"/>
  <c r="G83" i="82"/>
  <c r="G84" i="82" s="1"/>
  <c r="G80" i="82"/>
  <c r="Q94" i="92"/>
  <c r="Q22" i="92"/>
  <c r="G127" i="75"/>
  <c r="G128" i="75" s="1"/>
  <c r="G124" i="75"/>
  <c r="E30" i="17"/>
  <c r="E26" i="17"/>
  <c r="O103" i="21"/>
  <c r="O104" i="21" s="1"/>
  <c r="O100" i="21"/>
  <c r="I105" i="62"/>
  <c r="I101" i="62"/>
  <c r="H84" i="84"/>
  <c r="H87" i="84" s="1"/>
  <c r="H88" i="84" s="1"/>
  <c r="G164" i="30"/>
  <c r="G168" i="30"/>
  <c r="F111" i="51"/>
  <c r="F114" i="51" s="1"/>
  <c r="F115" i="51" s="1"/>
  <c r="D26" i="10"/>
  <c r="D30" i="10"/>
  <c r="D30" i="52"/>
  <c r="D26" i="52"/>
  <c r="G123" i="42"/>
  <c r="G124" i="42" s="1"/>
  <c r="G120" i="42"/>
  <c r="Q76" i="68"/>
  <c r="Q146" i="68"/>
  <c r="F76" i="71"/>
  <c r="F79" i="71"/>
  <c r="F80" i="71" s="1"/>
  <c r="J38" i="87"/>
  <c r="J39" i="87" s="1"/>
  <c r="J35" i="87"/>
  <c r="I124" i="27"/>
  <c r="I125" i="27" s="1"/>
  <c r="I121" i="27"/>
  <c r="E30" i="97"/>
  <c r="E26" i="97"/>
  <c r="F253" i="18"/>
  <c r="F254" i="18" s="1"/>
  <c r="F250" i="18"/>
  <c r="Q163" i="30"/>
  <c r="Q77" i="30"/>
  <c r="G106" i="45"/>
  <c r="G109" i="45" s="1"/>
  <c r="G110" i="45" s="1"/>
  <c r="G61" i="61"/>
  <c r="G62" i="61" s="1"/>
  <c r="G58" i="61"/>
  <c r="O38" i="87"/>
  <c r="O39" i="87" s="1"/>
  <c r="O35" i="87"/>
  <c r="J94" i="77"/>
  <c r="J95" i="77" s="1"/>
  <c r="J91" i="77"/>
  <c r="I164" i="30"/>
  <c r="I168" i="30"/>
  <c r="F65" i="60"/>
  <c r="F66" i="60" s="1"/>
  <c r="F62" i="60"/>
  <c r="Q92" i="83"/>
  <c r="Q22" i="83"/>
  <c r="E58" i="86"/>
  <c r="E61" i="86" s="1"/>
  <c r="E62" i="86" s="1"/>
  <c r="J44" i="88"/>
  <c r="J40" i="88"/>
  <c r="D30" i="28"/>
  <c r="D26" i="28"/>
  <c r="E267" i="3"/>
  <c r="E263" i="3"/>
  <c r="E121" i="27"/>
  <c r="E124" i="27" s="1"/>
  <c r="E125" i="27" s="1"/>
  <c r="F73" i="57"/>
  <c r="F69" i="57"/>
  <c r="D66" i="89"/>
  <c r="D67" i="89" s="1"/>
  <c r="D63" i="89"/>
  <c r="M61" i="61"/>
  <c r="M62" i="61" s="1"/>
  <c r="M58" i="61"/>
  <c r="M109" i="45"/>
  <c r="M110" i="45" s="1"/>
  <c r="M106" i="45"/>
  <c r="G102" i="9"/>
  <c r="G103" i="9" s="1"/>
  <c r="G99" i="9"/>
  <c r="F120" i="66"/>
  <c r="F123" i="66" s="1"/>
  <c r="F124" i="66" s="1"/>
  <c r="G106" i="62"/>
  <c r="G109" i="62" s="1"/>
  <c r="G110" i="62" s="1"/>
  <c r="H123" i="42"/>
  <c r="H124" i="42" s="1"/>
  <c r="H120" i="42"/>
  <c r="Q65" i="63"/>
  <c r="Q66" i="63" s="1"/>
  <c r="Q62" i="63"/>
  <c r="L132" i="36"/>
  <c r="L133" i="36" s="1"/>
  <c r="L129" i="36"/>
  <c r="L78" i="48"/>
  <c r="L79" i="48" s="1"/>
  <c r="L75" i="48"/>
  <c r="G30" i="23"/>
  <c r="G26" i="23"/>
  <c r="E249" i="18"/>
  <c r="E245" i="18"/>
  <c r="J73" i="59"/>
  <c r="J74" i="59" s="1"/>
  <c r="J70" i="59"/>
  <c r="L147" i="68"/>
  <c r="L151" i="68"/>
  <c r="D30" i="13"/>
  <c r="D26" i="13"/>
  <c r="F103" i="21"/>
  <c r="F104" i="21" s="1"/>
  <c r="F100" i="21"/>
  <c r="H92" i="33"/>
  <c r="H93" i="33" s="1"/>
  <c r="H89" i="33"/>
  <c r="L80" i="58"/>
  <c r="L83" i="58" s="1"/>
  <c r="L84" i="58" s="1"/>
  <c r="G98" i="64"/>
  <c r="G99" i="64" s="1"/>
  <c r="G95" i="64"/>
  <c r="J83" i="82"/>
  <c r="J84" i="82" s="1"/>
  <c r="J80" i="82"/>
  <c r="D90" i="77"/>
  <c r="D86" i="77"/>
  <c r="E30" i="35"/>
  <c r="E26" i="35"/>
  <c r="G26" i="34"/>
  <c r="G30" i="34"/>
  <c r="G268" i="3"/>
  <c r="G273" i="3"/>
  <c r="G274" i="3" s="1"/>
  <c r="M73" i="59"/>
  <c r="M74" i="59" s="1"/>
  <c r="M70" i="59"/>
  <c r="D90" i="64"/>
  <c r="D94" i="64"/>
  <c r="G57" i="73"/>
  <c r="G58" i="73" s="1"/>
  <c r="G54" i="73"/>
  <c r="K61" i="86"/>
  <c r="K62" i="86" s="1"/>
  <c r="K58" i="86"/>
  <c r="N45" i="88"/>
  <c r="N48" i="88" s="1"/>
  <c r="N49" i="88" s="1"/>
  <c r="O89" i="93"/>
  <c r="O92" i="93" s="1"/>
  <c r="O93" i="93" s="1"/>
  <c r="I101" i="83"/>
  <c r="I102" i="83" s="1"/>
  <c r="I98" i="83"/>
  <c r="G30" i="26"/>
  <c r="G26" i="26"/>
  <c r="M102" i="24"/>
  <c r="M103" i="24" s="1"/>
  <c r="M99" i="24"/>
  <c r="H114" i="70"/>
  <c r="H115" i="70" s="1"/>
  <c r="H111" i="70"/>
  <c r="I114" i="70"/>
  <c r="I115" i="70" s="1"/>
  <c r="I111" i="70"/>
  <c r="J58" i="86"/>
  <c r="J61" i="86" s="1"/>
  <c r="J62" i="86" s="1"/>
  <c r="M63" i="89"/>
  <c r="M66" i="89" s="1"/>
  <c r="M67" i="89" s="1"/>
  <c r="G132" i="36"/>
  <c r="G133" i="36" s="1"/>
  <c r="G129" i="36"/>
  <c r="F231" i="12"/>
  <c r="F227" i="12"/>
  <c r="K235" i="12"/>
  <c r="K236" i="12" s="1"/>
  <c r="K232" i="12"/>
  <c r="F114" i="70"/>
  <c r="F115" i="70" s="1"/>
  <c r="F111" i="70"/>
  <c r="G27" i="94"/>
  <c r="G30" i="94" s="1"/>
  <c r="G31" i="94" s="1"/>
  <c r="J95" i="92"/>
  <c r="J99" i="92"/>
  <c r="E26" i="16"/>
  <c r="E30" i="16"/>
  <c r="L120" i="42"/>
  <c r="L123" i="42" s="1"/>
  <c r="L124" i="42" s="1"/>
  <c r="Q65" i="65"/>
  <c r="Q69" i="65"/>
  <c r="K110" i="70"/>
  <c r="K106" i="70"/>
  <c r="I35" i="87"/>
  <c r="I38" i="87" s="1"/>
  <c r="I39" i="87" s="1"/>
  <c r="I89" i="93"/>
  <c r="I92" i="93" s="1"/>
  <c r="I93" i="93" s="1"/>
  <c r="D132" i="36"/>
  <c r="D133" i="36" s="1"/>
  <c r="D129" i="36"/>
  <c r="I61" i="86"/>
  <c r="I62" i="86" s="1"/>
  <c r="I58" i="86"/>
  <c r="D26" i="35"/>
  <c r="D30" i="35"/>
  <c r="D75" i="71"/>
  <c r="D71" i="71"/>
  <c r="D26" i="7"/>
  <c r="D30" i="7"/>
  <c r="Q53" i="73"/>
  <c r="Q49" i="73"/>
  <c r="Q37" i="24"/>
  <c r="Q93" i="24"/>
  <c r="E39" i="55"/>
  <c r="E40" i="55" s="1"/>
  <c r="E36" i="55"/>
  <c r="E62" i="67"/>
  <c r="E58" i="67"/>
  <c r="M87" i="84"/>
  <c r="M88" i="84" s="1"/>
  <c r="M84" i="84"/>
  <c r="F82" i="80"/>
  <c r="F85" i="80"/>
  <c r="F86" i="80" s="1"/>
  <c r="J32" i="91"/>
  <c r="J33" i="91" s="1"/>
  <c r="J29" i="91"/>
  <c r="D80" i="56"/>
  <c r="D83" i="56" s="1"/>
  <c r="D84" i="56" s="1"/>
  <c r="L83" i="82"/>
  <c r="L84" i="82" s="1"/>
  <c r="L80" i="82"/>
  <c r="O61" i="61"/>
  <c r="O62" i="61" s="1"/>
  <c r="O58" i="61"/>
  <c r="O235" i="12"/>
  <c r="O236" i="12" s="1"/>
  <c r="O232" i="12"/>
  <c r="O76" i="71"/>
  <c r="O79" i="71" s="1"/>
  <c r="O80" i="71" s="1"/>
  <c r="G83" i="56"/>
  <c r="G84" i="56" s="1"/>
  <c r="G80" i="56"/>
  <c r="H73" i="59"/>
  <c r="H74" i="59" s="1"/>
  <c r="H70" i="59"/>
  <c r="K83" i="58"/>
  <c r="K84" i="58" s="1"/>
  <c r="K80" i="58"/>
  <c r="J90" i="69"/>
  <c r="J91" i="69" s="1"/>
  <c r="J87" i="69"/>
  <c r="Q91" i="79"/>
  <c r="Q92" i="79" s="1"/>
  <c r="Q88" i="79"/>
  <c r="E99" i="9"/>
  <c r="E102" i="9"/>
  <c r="E103" i="9" s="1"/>
  <c r="Q39" i="55"/>
  <c r="Q40" i="55" s="1"/>
  <c r="Q36" i="55"/>
  <c r="I127" i="75"/>
  <c r="I128" i="75" s="1"/>
  <c r="I124" i="75"/>
  <c r="J111" i="51"/>
  <c r="J114" i="51" s="1"/>
  <c r="J115" i="51" s="1"/>
  <c r="O120" i="66"/>
  <c r="O123" i="66" s="1"/>
  <c r="O124" i="66" s="1"/>
  <c r="I111" i="51"/>
  <c r="I114" i="51" s="1"/>
  <c r="I115" i="51" s="1"/>
  <c r="G26" i="8"/>
  <c r="G30" i="8"/>
  <c r="D26" i="5"/>
  <c r="D30" i="5"/>
  <c r="H98" i="64"/>
  <c r="H99" i="64" s="1"/>
  <c r="H95" i="64"/>
  <c r="H126" i="39"/>
  <c r="H122" i="39"/>
  <c r="N75" i="71"/>
  <c r="N71" i="71"/>
  <c r="E26" i="47"/>
  <c r="E30" i="47"/>
  <c r="E91" i="77"/>
  <c r="E94" i="77" s="1"/>
  <c r="E95" i="77" s="1"/>
  <c r="L103" i="92"/>
  <c r="L104" i="92" s="1"/>
  <c r="L100" i="92"/>
  <c r="K74" i="57"/>
  <c r="K77" i="57" s="1"/>
  <c r="K78" i="57" s="1"/>
  <c r="E109" i="45"/>
  <c r="E110" i="45" s="1"/>
  <c r="E106" i="45"/>
  <c r="I132" i="36"/>
  <c r="I133" i="36" s="1"/>
  <c r="I129" i="36"/>
  <c r="N99" i="9"/>
  <c r="N102" i="9" s="1"/>
  <c r="N103" i="9" s="1"/>
  <c r="G26" i="31"/>
  <c r="G30" i="31"/>
  <c r="J229" i="15"/>
  <c r="J230" i="15" s="1"/>
  <c r="J226" i="15"/>
  <c r="Q110" i="51"/>
  <c r="Q106" i="51"/>
  <c r="G87" i="69"/>
  <c r="G90" i="69" s="1"/>
  <c r="G91" i="69" s="1"/>
  <c r="O36" i="78"/>
  <c r="O32" i="78"/>
  <c r="K38" i="87"/>
  <c r="K39" i="87" s="1"/>
  <c r="K35" i="87"/>
  <c r="E100" i="92"/>
  <c r="E103" i="92" s="1"/>
  <c r="E104" i="92" s="1"/>
  <c r="D26" i="49"/>
  <c r="D30" i="49"/>
  <c r="I87" i="84"/>
  <c r="I88" i="84" s="1"/>
  <c r="I84" i="84"/>
  <c r="G27" i="54"/>
  <c r="G32" i="54" s="1"/>
  <c r="G33" i="54" s="1"/>
  <c r="E30" i="43"/>
  <c r="E26" i="43"/>
  <c r="Q75" i="56"/>
  <c r="Q79" i="56"/>
  <c r="Q114" i="66"/>
  <c r="Q53" i="66"/>
  <c r="O57" i="73"/>
  <c r="O58" i="73" s="1"/>
  <c r="O54" i="73"/>
  <c r="I82" i="80"/>
  <c r="I85" i="80" s="1"/>
  <c r="I86" i="80" s="1"/>
  <c r="N78" i="95"/>
  <c r="N79" i="95" s="1"/>
  <c r="N75" i="95"/>
  <c r="G30" i="52"/>
  <c r="G26" i="52"/>
  <c r="N267" i="3"/>
  <c r="N263" i="3"/>
  <c r="L123" i="75"/>
  <c r="L119" i="75"/>
  <c r="I83" i="79"/>
  <c r="I87" i="79"/>
  <c r="L87" i="84"/>
  <c r="L88" i="84" s="1"/>
  <c r="L84" i="84"/>
  <c r="D26" i="96"/>
  <c r="D30" i="96"/>
  <c r="L97" i="90"/>
  <c r="L98" i="90" s="1"/>
  <c r="L94" i="90"/>
  <c r="H80" i="56"/>
  <c r="H83" i="56" s="1"/>
  <c r="H84" i="56" s="1"/>
  <c r="D30" i="11"/>
  <c r="D26" i="11"/>
  <c r="G26" i="49"/>
  <c r="G30" i="49"/>
  <c r="D231" i="12"/>
  <c r="D227" i="12"/>
  <c r="D88" i="33"/>
  <c r="D84" i="33"/>
  <c r="K39" i="55"/>
  <c r="K40" i="55" s="1"/>
  <c r="K36" i="55"/>
  <c r="G66" i="67"/>
  <c r="G67" i="67" s="1"/>
  <c r="G63" i="67"/>
  <c r="Q88" i="93"/>
  <c r="Q84" i="93"/>
  <c r="D103" i="92"/>
  <c r="D104" i="92" s="1"/>
  <c r="D100" i="92"/>
  <c r="D26" i="98"/>
  <c r="D30" i="98"/>
  <c r="G26" i="53"/>
  <c r="G30" i="53"/>
  <c r="D123" i="66"/>
  <c r="D124" i="66" s="1"/>
  <c r="D120" i="66"/>
  <c r="O87" i="69"/>
  <c r="O90" i="69" s="1"/>
  <c r="O91" i="69" s="1"/>
  <c r="D57" i="86"/>
  <c r="D53" i="86"/>
  <c r="M45" i="88"/>
  <c r="M48" i="88" s="1"/>
  <c r="M49" i="88" s="1"/>
  <c r="D61" i="61"/>
  <c r="D62" i="61" s="1"/>
  <c r="D58" i="61"/>
  <c r="D26" i="16"/>
  <c r="D30" i="16"/>
  <c r="D30" i="43"/>
  <c r="D26" i="43"/>
  <c r="I92" i="33"/>
  <c r="I93" i="33" s="1"/>
  <c r="I89" i="33"/>
  <c r="M75" i="48"/>
  <c r="M78" i="48"/>
  <c r="M79" i="48" s="1"/>
  <c r="F147" i="68"/>
  <c r="F151" i="68"/>
  <c r="K94" i="77"/>
  <c r="K95" i="77" s="1"/>
  <c r="K91" i="77"/>
  <c r="D30" i="97"/>
  <c r="D26" i="97"/>
  <c r="G253" i="18"/>
  <c r="G254" i="18" s="1"/>
  <c r="G250" i="18"/>
  <c r="O77" i="57"/>
  <c r="O78" i="57" s="1"/>
  <c r="O74" i="57"/>
  <c r="L72" i="72"/>
  <c r="L75" i="72" s="1"/>
  <c r="L76" i="72" s="1"/>
  <c r="J38" i="76"/>
  <c r="J39" i="76" s="1"/>
  <c r="J35" i="76"/>
  <c r="G78" i="48"/>
  <c r="G79" i="48" s="1"/>
  <c r="G75" i="48"/>
  <c r="F106" i="45"/>
  <c r="F109" i="45" s="1"/>
  <c r="F110" i="45" s="1"/>
  <c r="L65" i="63"/>
  <c r="L66" i="63" s="1"/>
  <c r="L62" i="63"/>
  <c r="J75" i="72"/>
  <c r="J76" i="72" s="1"/>
  <c r="J72" i="72"/>
  <c r="F94" i="90"/>
  <c r="F97" i="90"/>
  <c r="F98" i="90" s="1"/>
  <c r="G30" i="40"/>
  <c r="G26" i="40"/>
  <c r="Q83" i="33"/>
  <c r="Q29" i="33"/>
  <c r="O65" i="63"/>
  <c r="O66" i="63" s="1"/>
  <c r="O62" i="63"/>
  <c r="K30" i="94"/>
  <c r="K31" i="94" s="1"/>
  <c r="K27" i="94"/>
  <c r="J80" i="56"/>
  <c r="J83" i="56" s="1"/>
  <c r="J84" i="56" s="1"/>
  <c r="Q62" i="60"/>
  <c r="Q65" i="60" s="1"/>
  <c r="Q66" i="60" s="1"/>
  <c r="H83" i="74"/>
  <c r="H86" i="74" s="1"/>
  <c r="H87" i="74" s="1"/>
  <c r="H63" i="67"/>
  <c r="H66" i="67" s="1"/>
  <c r="H67" i="67" s="1"/>
  <c r="M77" i="57"/>
  <c r="M78" i="57" s="1"/>
  <c r="M74" i="57"/>
  <c r="J152" i="68"/>
  <c r="J155" i="68" s="1"/>
  <c r="J156" i="68" s="1"/>
  <c r="O48" i="88"/>
  <c r="O49" i="88" s="1"/>
  <c r="O45" i="88"/>
  <c r="K111" i="51"/>
  <c r="K114" i="51" s="1"/>
  <c r="K115" i="51" s="1"/>
  <c r="E155" i="68"/>
  <c r="E156" i="68" s="1"/>
  <c r="E152" i="68"/>
  <c r="H26" i="54"/>
  <c r="H22" i="54"/>
  <c r="N83" i="84"/>
  <c r="N79" i="84"/>
  <c r="G26" i="29"/>
  <c r="G30" i="29"/>
  <c r="G30" i="16"/>
  <c r="G26" i="16"/>
  <c r="O99" i="24"/>
  <c r="O102" i="24" s="1"/>
  <c r="O103" i="24" s="1"/>
  <c r="O226" i="15"/>
  <c r="O229" i="15" s="1"/>
  <c r="O230" i="15" s="1"/>
  <c r="I122" i="39"/>
  <c r="I126" i="39"/>
  <c r="D65" i="63"/>
  <c r="D66" i="63" s="1"/>
  <c r="D62" i="63"/>
  <c r="L32" i="85"/>
  <c r="L28" i="85"/>
  <c r="D102" i="9"/>
  <c r="D103" i="9" s="1"/>
  <c r="D99" i="9"/>
  <c r="J168" i="30"/>
  <c r="J164" i="30"/>
  <c r="K78" i="48"/>
  <c r="K79" i="48" s="1"/>
  <c r="K75" i="48"/>
  <c r="N40" i="78"/>
  <c r="N41" i="78" s="1"/>
  <c r="N37" i="78"/>
  <c r="L172" i="30"/>
  <c r="L173" i="30" s="1"/>
  <c r="L169" i="30"/>
  <c r="L36" i="55"/>
  <c r="L39" i="55" s="1"/>
  <c r="L40" i="55" s="1"/>
  <c r="G30" i="7"/>
  <c r="G26" i="7"/>
  <c r="Q110" i="70"/>
  <c r="Q106" i="70"/>
  <c r="H74" i="81"/>
  <c r="H75" i="81" s="1"/>
  <c r="H71" i="81"/>
  <c r="M31" i="6"/>
  <c r="M32" i="6" s="1"/>
  <c r="M26" i="6"/>
  <c r="L120" i="27"/>
  <c r="L116" i="27"/>
  <c r="Q69" i="57"/>
  <c r="Q73" i="57"/>
  <c r="H57" i="73"/>
  <c r="H58" i="73" s="1"/>
  <c r="H54" i="73"/>
  <c r="M71" i="81"/>
  <c r="M74" i="81" s="1"/>
  <c r="M75" i="81" s="1"/>
  <c r="L40" i="78"/>
  <c r="L41" i="78" s="1"/>
  <c r="L37" i="78"/>
  <c r="M61" i="86"/>
  <c r="M62" i="86" s="1"/>
  <c r="M58" i="86"/>
  <c r="F78" i="48"/>
  <c r="F79" i="48" s="1"/>
  <c r="F75" i="48"/>
  <c r="O123" i="42"/>
  <c r="O124" i="42" s="1"/>
  <c r="O120" i="42"/>
  <c r="F75" i="72"/>
  <c r="F76" i="72" s="1"/>
  <c r="F72" i="72"/>
  <c r="O152" i="68"/>
  <c r="O155" i="68" s="1"/>
  <c r="O156" i="68" s="1"/>
  <c r="E26" i="94"/>
  <c r="E22" i="94"/>
  <c r="D109" i="62"/>
  <c r="D110" i="62" s="1"/>
  <c r="D106" i="62"/>
  <c r="G127" i="39"/>
  <c r="G130" i="39" s="1"/>
  <c r="G131" i="39" s="1"/>
  <c r="D30" i="20"/>
  <c r="D26" i="20"/>
  <c r="J120" i="42"/>
  <c r="J123" i="42" s="1"/>
  <c r="J124" i="42" s="1"/>
  <c r="O94" i="90"/>
  <c r="O97" i="90" s="1"/>
  <c r="O98" i="90" s="1"/>
  <c r="L75" i="95"/>
  <c r="L78" i="95" s="1"/>
  <c r="L79" i="95" s="1"/>
  <c r="N172" i="30"/>
  <c r="N173" i="30" s="1"/>
  <c r="N169" i="30"/>
  <c r="G30" i="37"/>
  <c r="G26" i="37"/>
  <c r="N114" i="70"/>
  <c r="N115" i="70" s="1"/>
  <c r="N111" i="70"/>
  <c r="D26" i="25"/>
  <c r="D30" i="25"/>
  <c r="N120" i="27"/>
  <c r="N116" i="27"/>
  <c r="O83" i="56"/>
  <c r="O84" i="56" s="1"/>
  <c r="O80" i="56"/>
  <c r="D40" i="78"/>
  <c r="D41" i="78" s="1"/>
  <c r="D37" i="78"/>
  <c r="H78" i="95"/>
  <c r="H79" i="95" s="1"/>
  <c r="H75" i="95"/>
  <c r="H48" i="88"/>
  <c r="H49" i="88" s="1"/>
  <c r="H45" i="88"/>
  <c r="L32" i="91"/>
  <c r="L33" i="91" s="1"/>
  <c r="L29" i="91"/>
  <c r="D30" i="8"/>
  <c r="D26" i="8"/>
  <c r="E30" i="11"/>
  <c r="E26" i="11"/>
  <c r="G26" i="41"/>
  <c r="G30" i="41"/>
  <c r="L102" i="9"/>
  <c r="L103" i="9" s="1"/>
  <c r="L99" i="9"/>
  <c r="F124" i="27"/>
  <c r="F125" i="27" s="1"/>
  <c r="F121" i="27"/>
  <c r="K106" i="45"/>
  <c r="K109" i="45" s="1"/>
  <c r="K110" i="45" s="1"/>
  <c r="K37" i="78"/>
  <c r="K40" i="78"/>
  <c r="K41" i="78" s="1"/>
  <c r="D30" i="94"/>
  <c r="D31" i="94" s="1"/>
  <c r="D27" i="94"/>
  <c r="H37" i="78"/>
  <c r="H40" i="78" s="1"/>
  <c r="H41" i="78" s="1"/>
  <c r="J268" i="3"/>
  <c r="J273" i="3" s="1"/>
  <c r="J274" i="3" s="1"/>
  <c r="F82" i="69"/>
  <c r="F86" i="69"/>
  <c r="N94" i="77"/>
  <c r="N95" i="77" s="1"/>
  <c r="N91" i="77"/>
  <c r="G82" i="80"/>
  <c r="G85" i="80" s="1"/>
  <c r="G86" i="80" s="1"/>
  <c r="I37" i="78"/>
  <c r="I40" i="78" s="1"/>
  <c r="I41" i="78" s="1"/>
  <c r="K98" i="64"/>
  <c r="K99" i="64" s="1"/>
  <c r="K95" i="64"/>
  <c r="G48" i="88"/>
  <c r="G49" i="88" s="1"/>
  <c r="G45" i="88"/>
  <c r="I65" i="60"/>
  <c r="I66" i="60" s="1"/>
  <c r="I62" i="60"/>
  <c r="N132" i="36"/>
  <c r="N133" i="36" s="1"/>
  <c r="N129" i="36"/>
  <c r="L111" i="70"/>
  <c r="L114" i="70" s="1"/>
  <c r="L115" i="70" s="1"/>
  <c r="N103" i="21"/>
  <c r="N104" i="21" s="1"/>
  <c r="N100" i="21"/>
  <c r="G94" i="77"/>
  <c r="G95" i="77" s="1"/>
  <c r="G91" i="77"/>
  <c r="D39" i="55"/>
  <c r="D40" i="55" s="1"/>
  <c r="D36" i="55"/>
  <c r="F127" i="75"/>
  <c r="F128" i="75" s="1"/>
  <c r="F124" i="75"/>
  <c r="I73" i="59"/>
  <c r="I74" i="59" s="1"/>
  <c r="I70" i="59"/>
  <c r="G62" i="63"/>
  <c r="G65" i="63"/>
  <c r="G66" i="63" s="1"/>
  <c r="J83" i="58"/>
  <c r="J84" i="58" s="1"/>
  <c r="J80" i="58"/>
  <c r="K226" i="15"/>
  <c r="K229" i="15" s="1"/>
  <c r="K230" i="15" s="1"/>
  <c r="D114" i="51"/>
  <c r="D115" i="51" s="1"/>
  <c r="D111" i="51"/>
  <c r="N61" i="61"/>
  <c r="N62" i="61" s="1"/>
  <c r="N58" i="61"/>
  <c r="G26" i="38"/>
  <c r="G30" i="38"/>
  <c r="D111" i="70"/>
  <c r="D114" i="70" s="1"/>
  <c r="D115" i="70" s="1"/>
  <c r="D26" i="41"/>
  <c r="D30" i="41"/>
  <c r="F36" i="85"/>
  <c r="F37" i="85" s="1"/>
  <c r="F33" i="85"/>
  <c r="G26" i="10"/>
  <c r="G30" i="10"/>
  <c r="K79" i="71"/>
  <c r="K80" i="71" s="1"/>
  <c r="K76" i="71"/>
  <c r="K99" i="24"/>
  <c r="K102" i="24" s="1"/>
  <c r="K103" i="24" s="1"/>
  <c r="K99" i="9"/>
  <c r="K102" i="9" s="1"/>
  <c r="K103" i="9" s="1"/>
  <c r="E30" i="40"/>
  <c r="E26" i="40"/>
  <c r="L126" i="39"/>
  <c r="L122" i="39"/>
  <c r="M62" i="60"/>
  <c r="M65" i="60" s="1"/>
  <c r="M66" i="60" s="1"/>
  <c r="M85" i="80"/>
  <c r="M86" i="80" s="1"/>
  <c r="M82" i="80"/>
  <c r="D30" i="76"/>
  <c r="D34" i="76"/>
  <c r="H29" i="91"/>
  <c r="H32" i="91" s="1"/>
  <c r="H33" i="91" s="1"/>
  <c r="E231" i="12"/>
  <c r="E227" i="12"/>
  <c r="L48" i="88"/>
  <c r="L49" i="88" s="1"/>
  <c r="L45" i="88"/>
  <c r="D168" i="30"/>
  <c r="D164" i="30"/>
  <c r="G26" i="14"/>
  <c r="G30" i="14"/>
  <c r="E26" i="53"/>
  <c r="E30" i="53"/>
  <c r="F31" i="55"/>
  <c r="F35" i="55"/>
  <c r="J61" i="61"/>
  <c r="J62" i="61" s="1"/>
  <c r="J58" i="61"/>
  <c r="I86" i="74"/>
  <c r="I87" i="74" s="1"/>
  <c r="I83" i="74"/>
  <c r="H61" i="86"/>
  <c r="H62" i="86" s="1"/>
  <c r="H58" i="86"/>
  <c r="Q32" i="91"/>
  <c r="Q33" i="91" s="1"/>
  <c r="Q29" i="91"/>
  <c r="E30" i="13"/>
  <c r="E26" i="13"/>
  <c r="L89" i="33"/>
  <c r="L92" i="33" s="1"/>
  <c r="L93" i="33" s="1"/>
  <c r="E98" i="64"/>
  <c r="E99" i="64" s="1"/>
  <c r="E95" i="64"/>
  <c r="E75" i="72"/>
  <c r="E76" i="72" s="1"/>
  <c r="E72" i="72"/>
  <c r="I48" i="88"/>
  <c r="I49" i="88" s="1"/>
  <c r="I45" i="88"/>
  <c r="D26" i="53"/>
  <c r="D30" i="53"/>
  <c r="N62" i="60"/>
  <c r="N65" i="60" s="1"/>
  <c r="N66" i="60" s="1"/>
  <c r="D26" i="19"/>
  <c r="D30" i="19"/>
  <c r="I268" i="3"/>
  <c r="I273" i="3" s="1"/>
  <c r="I274" i="3" s="1"/>
  <c r="G83" i="58"/>
  <c r="G84" i="58" s="1"/>
  <c r="G80" i="58"/>
  <c r="O65" i="60"/>
  <c r="O66" i="60" s="1"/>
  <c r="O62" i="60"/>
  <c r="G30" i="32"/>
  <c r="G26" i="32"/>
  <c r="J85" i="80"/>
  <c r="J86" i="80" s="1"/>
  <c r="J82" i="80"/>
  <c r="E26" i="19"/>
  <c r="E30" i="19"/>
  <c r="F31" i="6"/>
  <c r="F32" i="6" s="1"/>
  <c r="F26" i="6"/>
  <c r="D100" i="21"/>
  <c r="D103" i="21" s="1"/>
  <c r="D104" i="21" s="1"/>
  <c r="L73" i="59"/>
  <c r="L74" i="59" s="1"/>
  <c r="L70" i="59"/>
  <c r="F65" i="63"/>
  <c r="F66" i="63" s="1"/>
  <c r="F62" i="63"/>
  <c r="I83" i="82"/>
  <c r="I84" i="82" s="1"/>
  <c r="I80" i="82"/>
  <c r="I89" i="90"/>
  <c r="I93" i="90"/>
  <c r="E26" i="23"/>
  <c r="E30" i="23"/>
  <c r="K75" i="72"/>
  <c r="K76" i="72" s="1"/>
  <c r="K72" i="72"/>
  <c r="G26" i="19"/>
  <c r="G30" i="19"/>
  <c r="H31" i="6"/>
  <c r="H32" i="6" s="1"/>
  <c r="H26" i="6"/>
  <c r="M172" i="30"/>
  <c r="M173" i="30" s="1"/>
  <c r="M169" i="30"/>
  <c r="Q115" i="42"/>
  <c r="Q119" i="42"/>
  <c r="D87" i="69"/>
  <c r="D90" i="69" s="1"/>
  <c r="D91" i="69" s="1"/>
  <c r="K106" i="62"/>
  <c r="K109" i="62" s="1"/>
  <c r="K110" i="62" s="1"/>
  <c r="O66" i="67"/>
  <c r="O67" i="67" s="1"/>
  <c r="O63" i="67"/>
  <c r="M114" i="70"/>
  <c r="M115" i="70" s="1"/>
  <c r="M111" i="70"/>
  <c r="K38" i="76"/>
  <c r="K39" i="76" s="1"/>
  <c r="K35" i="76"/>
  <c r="H123" i="75"/>
  <c r="H119" i="75"/>
  <c r="G30" i="28"/>
  <c r="G26" i="28"/>
  <c r="I249" i="18"/>
  <c r="I245" i="18"/>
  <c r="J39" i="55"/>
  <c r="J40" i="55" s="1"/>
  <c r="J36" i="55"/>
  <c r="G73" i="65"/>
  <c r="G74" i="65" s="1"/>
  <c r="G70" i="65"/>
  <c r="E92" i="33"/>
  <c r="E93" i="33" s="1"/>
  <c r="E89" i="33"/>
  <c r="M70" i="65"/>
  <c r="M73" i="65"/>
  <c r="M74" i="65" s="1"/>
  <c r="O83" i="82"/>
  <c r="O84" i="82" s="1"/>
  <c r="O80" i="82"/>
  <c r="O61" i="86"/>
  <c r="O62" i="86" s="1"/>
  <c r="O58" i="86"/>
  <c r="H253" i="18"/>
  <c r="H254" i="18" s="1"/>
  <c r="H250" i="18"/>
  <c r="O66" i="89"/>
  <c r="O67" i="89" s="1"/>
  <c r="O63" i="89"/>
  <c r="D221" i="15"/>
  <c r="D225" i="15"/>
  <c r="M72" i="72"/>
  <c r="M75" i="72" s="1"/>
  <c r="M76" i="72" s="1"/>
  <c r="L93" i="83"/>
  <c r="L97" i="83"/>
  <c r="D38" i="87"/>
  <c r="D39" i="87" s="1"/>
  <c r="D35" i="87"/>
  <c r="J83" i="74"/>
  <c r="J86" i="74" s="1"/>
  <c r="J87" i="74" s="1"/>
  <c r="H121" i="27"/>
  <c r="H124" i="27" s="1"/>
  <c r="H125" i="27" s="1"/>
  <c r="K86" i="74"/>
  <c r="K87" i="74" s="1"/>
  <c r="K83" i="74"/>
  <c r="Q63" i="89"/>
  <c r="Q66" i="89" s="1"/>
  <c r="Q67" i="89" s="1"/>
  <c r="H79" i="71"/>
  <c r="H80" i="71" s="1"/>
  <c r="H76" i="71"/>
  <c r="Q75" i="58"/>
  <c r="Q79" i="58"/>
  <c r="G30" i="98"/>
  <c r="G26" i="98"/>
  <c r="Q32" i="85"/>
  <c r="Q28" i="85"/>
  <c r="E30" i="4"/>
  <c r="E26" i="4"/>
  <c r="G226" i="15"/>
  <c r="G229" i="15"/>
  <c r="G230" i="15" s="1"/>
  <c r="H91" i="79"/>
  <c r="H92" i="79" s="1"/>
  <c r="H88" i="79"/>
  <c r="I32" i="91"/>
  <c r="I33" i="91" s="1"/>
  <c r="I29" i="91"/>
  <c r="J74" i="48"/>
  <c r="J70" i="48"/>
  <c r="N80" i="82"/>
  <c r="N83" i="82" s="1"/>
  <c r="N84" i="82" s="1"/>
  <c r="D30" i="4"/>
  <c r="D26" i="4"/>
  <c r="L99" i="24"/>
  <c r="L102" i="24" s="1"/>
  <c r="L103" i="24" s="1"/>
  <c r="G77" i="57"/>
  <c r="G78" i="57" s="1"/>
  <c r="G74" i="57"/>
  <c r="H119" i="66"/>
  <c r="H115" i="66"/>
  <c r="N82" i="74"/>
  <c r="N78" i="74"/>
  <c r="E26" i="22"/>
  <c r="E30" i="22"/>
  <c r="N73" i="59"/>
  <c r="N74" i="59" s="1"/>
  <c r="N70" i="59"/>
  <c r="H151" i="68"/>
  <c r="H147" i="68"/>
  <c r="M94" i="77"/>
  <c r="M95" i="77" s="1"/>
  <c r="M91" i="77"/>
  <c r="G39" i="55"/>
  <c r="G40" i="55" s="1"/>
  <c r="G36" i="55"/>
  <c r="G65" i="60"/>
  <c r="G66" i="60" s="1"/>
  <c r="G62" i="60"/>
  <c r="D30" i="50"/>
  <c r="D26" i="50"/>
  <c r="N235" i="12"/>
  <c r="N236" i="12" s="1"/>
  <c r="N232" i="12"/>
  <c r="I71" i="81"/>
  <c r="I74" i="81"/>
  <c r="I75" i="81" s="1"/>
  <c r="K123" i="75"/>
  <c r="K119" i="75"/>
  <c r="E30" i="28"/>
  <c r="E26" i="28"/>
  <c r="K57" i="73"/>
  <c r="K58" i="73" s="1"/>
  <c r="K54" i="73"/>
  <c r="Q90" i="77"/>
  <c r="Q86" i="77"/>
  <c r="M83" i="82"/>
  <c r="M84" i="82" s="1"/>
  <c r="M80" i="82"/>
  <c r="F80" i="82"/>
  <c r="F83" i="82" s="1"/>
  <c r="F84" i="82" s="1"/>
  <c r="G32" i="91"/>
  <c r="G33" i="91" s="1"/>
  <c r="G29" i="91"/>
  <c r="E32" i="91"/>
  <c r="E33" i="91" s="1"/>
  <c r="E29" i="91"/>
  <c r="D30" i="31"/>
  <c r="D26" i="31"/>
  <c r="N109" i="62"/>
  <c r="N110" i="62" s="1"/>
  <c r="N106" i="62"/>
  <c r="D70" i="81"/>
  <c r="D66" i="81"/>
  <c r="K98" i="83"/>
  <c r="K101" i="83" s="1"/>
  <c r="K102" i="83" s="1"/>
  <c r="G101" i="83"/>
  <c r="G102" i="83" s="1"/>
  <c r="G98" i="83"/>
  <c r="H83" i="82"/>
  <c r="H84" i="82" s="1"/>
  <c r="H80" i="82"/>
  <c r="I100" i="92"/>
  <c r="I103" i="92" s="1"/>
  <c r="I104" i="92" s="1"/>
  <c r="Q73" i="59"/>
  <c r="Q74" i="59" s="1"/>
  <c r="Q70" i="59"/>
  <c r="D26" i="23"/>
  <c r="D30" i="23"/>
  <c r="K263" i="3"/>
  <c r="K267" i="3"/>
  <c r="H100" i="21"/>
  <c r="H103" i="21" s="1"/>
  <c r="H104" i="21" s="1"/>
  <c r="H69" i="65"/>
  <c r="H65" i="65"/>
  <c r="F86" i="74"/>
  <c r="F87" i="74" s="1"/>
  <c r="F83" i="74"/>
  <c r="O83" i="74"/>
  <c r="O86" i="74" s="1"/>
  <c r="O87" i="74" s="1"/>
  <c r="N101" i="83"/>
  <c r="N102" i="83" s="1"/>
  <c r="N98" i="83"/>
  <c r="N33" i="85"/>
  <c r="N36" i="85" s="1"/>
  <c r="N37" i="85" s="1"/>
  <c r="G92" i="93"/>
  <c r="G93" i="93" s="1"/>
  <c r="G89" i="93"/>
  <c r="J102" i="24"/>
  <c r="J103" i="24" s="1"/>
  <c r="J99" i="24"/>
  <c r="L26" i="6"/>
  <c r="L31" i="6" s="1"/>
  <c r="L32" i="6" s="1"/>
  <c r="G40" i="78"/>
  <c r="G41" i="78" s="1"/>
  <c r="G37" i="78"/>
  <c r="N63" i="89"/>
  <c r="N66" i="89" s="1"/>
  <c r="N67" i="89" s="1"/>
  <c r="G75" i="95"/>
  <c r="G78" i="95" s="1"/>
  <c r="G79" i="95" s="1"/>
  <c r="Q70" i="48"/>
  <c r="Q74" i="48"/>
  <c r="E26" i="10"/>
  <c r="E30" i="10"/>
  <c r="D26" i="47"/>
  <c r="D30" i="47"/>
  <c r="H229" i="15"/>
  <c r="H230" i="15" s="1"/>
  <c r="H226" i="15"/>
  <c r="F130" i="39"/>
  <c r="F131" i="39" s="1"/>
  <c r="F127" i="39"/>
  <c r="J58" i="67"/>
  <c r="J62" i="67"/>
  <c r="H89" i="93"/>
  <c r="H92" i="93" s="1"/>
  <c r="H93" i="93" s="1"/>
  <c r="G26" i="43"/>
  <c r="G30" i="43"/>
  <c r="E123" i="66"/>
  <c r="E124" i="66" s="1"/>
  <c r="E120" i="66"/>
  <c r="Q82" i="74"/>
  <c r="Q78" i="74"/>
  <c r="D91" i="79"/>
  <c r="D92" i="79" s="1"/>
  <c r="D88" i="79"/>
  <c r="D74" i="95"/>
  <c r="D70" i="95"/>
  <c r="F73" i="65"/>
  <c r="F74" i="65" s="1"/>
  <c r="F70" i="65"/>
  <c r="O84" i="84"/>
  <c r="O87" i="84" s="1"/>
  <c r="O88" i="84" s="1"/>
  <c r="N152" i="68"/>
  <c r="N155" i="68" s="1"/>
  <c r="N156" i="68" s="1"/>
  <c r="E114" i="51"/>
  <c r="E115" i="51" s="1"/>
  <c r="E111" i="51"/>
  <c r="N91" i="79"/>
  <c r="N92" i="79" s="1"/>
  <c r="N88" i="79"/>
  <c r="M80" i="58"/>
  <c r="M83" i="58"/>
  <c r="M84" i="58" s="1"/>
  <c r="G75" i="72"/>
  <c r="G76" i="72" s="1"/>
  <c r="G72" i="72"/>
  <c r="L109" i="62"/>
  <c r="L110" i="62" s="1"/>
  <c r="L106" i="62"/>
  <c r="N83" i="58"/>
  <c r="N84" i="58" s="1"/>
  <c r="N80" i="58"/>
  <c r="G114" i="70"/>
  <c r="G115" i="70" s="1"/>
  <c r="G111" i="70"/>
  <c r="D83" i="74"/>
  <c r="D86" i="74" s="1"/>
  <c r="D87" i="74" s="1"/>
  <c r="I63" i="67"/>
  <c r="I66" i="67" s="1"/>
  <c r="I67" i="67" s="1"/>
  <c r="H172" i="30"/>
  <c r="H173" i="30" s="1"/>
  <c r="H169" i="30"/>
  <c r="J98" i="64"/>
  <c r="J99" i="64" s="1"/>
  <c r="J95" i="64"/>
  <c r="D120" i="42"/>
  <c r="D123" i="42" s="1"/>
  <c r="D124" i="42" s="1"/>
  <c r="E26" i="14"/>
  <c r="E30" i="14"/>
  <c r="L231" i="12"/>
  <c r="L227" i="12"/>
  <c r="H33" i="85"/>
  <c r="H36" i="85"/>
  <c r="H37" i="85" s="1"/>
  <c r="K66" i="89"/>
  <c r="K67" i="89" s="1"/>
  <c r="K63" i="89"/>
  <c r="G123" i="66"/>
  <c r="G124" i="66" s="1"/>
  <c r="G120" i="66"/>
  <c r="E30" i="8"/>
  <c r="E26" i="8"/>
  <c r="D94" i="24"/>
  <c r="D98" i="24"/>
  <c r="D75" i="82"/>
  <c r="D79" i="82"/>
  <c r="G94" i="90"/>
  <c r="G97" i="90"/>
  <c r="G98" i="90" s="1"/>
  <c r="O36" i="85"/>
  <c r="O37" i="85" s="1"/>
  <c r="O33" i="85"/>
  <c r="H101" i="45"/>
  <c r="H105" i="45"/>
  <c r="F48" i="88"/>
  <c r="F49" i="88" s="1"/>
  <c r="F45" i="88"/>
  <c r="I39" i="55"/>
  <c r="I40" i="55" s="1"/>
  <c r="I36" i="55"/>
  <c r="G30" i="96"/>
  <c r="G26" i="96"/>
  <c r="F164" i="30"/>
  <c r="F168" i="30"/>
  <c r="O105" i="45"/>
  <c r="O101" i="45"/>
  <c r="J91" i="79"/>
  <c r="J92" i="79" s="1"/>
  <c r="J88" i="79"/>
  <c r="E30" i="46"/>
  <c r="E26" i="46"/>
  <c r="E30" i="26"/>
  <c r="E26" i="26"/>
  <c r="D126" i="39"/>
  <c r="D122" i="39"/>
  <c r="O70" i="59"/>
  <c r="O73" i="59" s="1"/>
  <c r="O74" i="59" s="1"/>
  <c r="J78" i="95"/>
  <c r="J79" i="95" s="1"/>
  <c r="J75" i="95"/>
  <c r="D273" i="3"/>
  <c r="D274" i="3" s="1"/>
  <c r="D268" i="3"/>
  <c r="Q61" i="61"/>
  <c r="Q62" i="61" s="1"/>
  <c r="Q58" i="61"/>
  <c r="O273" i="3"/>
  <c r="O274" i="3" s="1"/>
  <c r="O268" i="3"/>
  <c r="M123" i="42"/>
  <c r="M124" i="42" s="1"/>
  <c r="M120" i="42"/>
  <c r="Q70" i="81"/>
  <c r="Q66" i="81"/>
  <c r="K26" i="6"/>
  <c r="K31" i="6" s="1"/>
  <c r="K32" i="6" s="1"/>
  <c r="F109" i="62"/>
  <c r="F110" i="62" s="1"/>
  <c r="F106" i="62"/>
  <c r="M231" i="12"/>
  <c r="M227" i="12"/>
  <c r="E172" i="30"/>
  <c r="E173" i="30" s="1"/>
  <c r="E169" i="30"/>
  <c r="E73" i="59"/>
  <c r="E74" i="59" s="1"/>
  <c r="E70" i="59"/>
  <c r="L63" i="89"/>
  <c r="L66" i="89" s="1"/>
  <c r="L67" i="89" s="1"/>
  <c r="J235" i="12"/>
  <c r="J236" i="12" s="1"/>
  <c r="J232" i="12"/>
  <c r="H75" i="72"/>
  <c r="H76" i="72" s="1"/>
  <c r="H72" i="72"/>
  <c r="D30" i="40"/>
  <c r="D26" i="40"/>
  <c r="I61" i="61"/>
  <c r="I62" i="61" s="1"/>
  <c r="I58" i="61"/>
  <c r="G86" i="74"/>
  <c r="G87" i="74" s="1"/>
  <c r="G83" i="74"/>
  <c r="E30" i="52"/>
  <c r="E26" i="52"/>
  <c r="Q81" i="80"/>
  <c r="Q77" i="80"/>
  <c r="N226" i="15"/>
  <c r="N229" i="15" s="1"/>
  <c r="N230" i="15" s="1"/>
  <c r="D109" i="45"/>
  <c r="D110" i="45" s="1"/>
  <c r="D106" i="45"/>
  <c r="H90" i="69"/>
  <c r="H91" i="69" s="1"/>
  <c r="H87" i="69"/>
  <c r="D53" i="73"/>
  <c r="D49" i="73"/>
  <c r="H98" i="83"/>
  <c r="H101" i="83"/>
  <c r="H102" i="83" s="1"/>
  <c r="D48" i="88"/>
  <c r="D49" i="88" s="1"/>
  <c r="D45" i="88"/>
  <c r="E88" i="93"/>
  <c r="E84" i="93"/>
  <c r="O98" i="64"/>
  <c r="O99" i="64" s="1"/>
  <c r="O95" i="64"/>
  <c r="G26" i="97"/>
  <c r="G30" i="97"/>
  <c r="O36" i="55"/>
  <c r="O39" i="55" s="1"/>
  <c r="O40" i="55" s="1"/>
  <c r="K120" i="66"/>
  <c r="K123" i="66"/>
  <c r="K124" i="66" s="1"/>
  <c r="L35" i="76"/>
  <c r="L38" i="76" s="1"/>
  <c r="L39" i="76" s="1"/>
  <c r="D36" i="85"/>
  <c r="D37" i="85" s="1"/>
  <c r="D33" i="85"/>
  <c r="Q30" i="94"/>
  <c r="Q31" i="94" s="1"/>
  <c r="Q27" i="94"/>
  <c r="D26" i="37"/>
  <c r="D30" i="37"/>
  <c r="L61" i="61"/>
  <c r="L62" i="61" s="1"/>
  <c r="L58" i="61"/>
  <c r="M80" i="56"/>
  <c r="M83" i="56" s="1"/>
  <c r="M84" i="56" s="1"/>
  <c r="L86" i="69"/>
  <c r="L82" i="69"/>
  <c r="D32" i="91"/>
  <c r="D33" i="91" s="1"/>
  <c r="D29" i="91"/>
  <c r="N66" i="67"/>
  <c r="N67" i="67" s="1"/>
  <c r="N63" i="67"/>
  <c r="Q48" i="88"/>
  <c r="Q49" i="88" s="1"/>
  <c r="Q45" i="88"/>
  <c r="E87" i="84"/>
  <c r="E88" i="84" s="1"/>
  <c r="E84" i="84"/>
  <c r="E26" i="34"/>
  <c r="E30" i="34"/>
  <c r="O98" i="83"/>
  <c r="O101" i="83" s="1"/>
  <c r="O102" i="83" s="1"/>
  <c r="L273" i="3"/>
  <c r="L274" i="3" s="1"/>
  <c r="L268" i="3"/>
  <c r="M35" i="76"/>
  <c r="M38" i="76" s="1"/>
  <c r="M39" i="76" s="1"/>
  <c r="I34" i="76"/>
  <c r="I30" i="76"/>
  <c r="H27" i="94"/>
  <c r="H30" i="94" s="1"/>
  <c r="H31" i="94" s="1"/>
  <c r="E80" i="82"/>
  <c r="E83" i="82"/>
  <c r="E84" i="82" s="1"/>
  <c r="E30" i="37"/>
  <c r="E26" i="37"/>
  <c r="E83" i="56"/>
  <c r="E84" i="56" s="1"/>
  <c r="E80" i="56"/>
  <c r="J79" i="71"/>
  <c r="J80" i="71" s="1"/>
  <c r="J76" i="71"/>
  <c r="H85" i="80"/>
  <c r="H86" i="80" s="1"/>
  <c r="H82" i="80"/>
  <c r="M36" i="78"/>
  <c r="M32" i="78"/>
  <c r="H35" i="87"/>
  <c r="H38" i="87" s="1"/>
  <c r="H39" i="87" s="1"/>
  <c r="Q90" i="64"/>
  <c r="Q94" i="64"/>
  <c r="K65" i="63"/>
  <c r="K66" i="63" s="1"/>
  <c r="K62" i="63"/>
  <c r="G26" i="47"/>
  <c r="G30" i="47"/>
  <c r="M102" i="9"/>
  <c r="M103" i="9" s="1"/>
  <c r="M99" i="9"/>
  <c r="H114" i="51"/>
  <c r="H115" i="51" s="1"/>
  <c r="H111" i="51"/>
  <c r="D62" i="60"/>
  <c r="D65" i="60" s="1"/>
  <c r="D66" i="60" s="1"/>
  <c r="E87" i="79"/>
  <c r="E83" i="79"/>
  <c r="J92" i="93"/>
  <c r="J93" i="93" s="1"/>
  <c r="J89" i="93"/>
  <c r="D26" i="29"/>
  <c r="D30" i="29"/>
  <c r="F128" i="36"/>
  <c r="F124" i="36"/>
  <c r="I73" i="65"/>
  <c r="I74" i="65" s="1"/>
  <c r="I70" i="65"/>
  <c r="M54" i="73"/>
  <c r="M57" i="73" s="1"/>
  <c r="M58" i="73" s="1"/>
  <c r="G38" i="76"/>
  <c r="G39" i="76" s="1"/>
  <c r="G35" i="76"/>
  <c r="M97" i="90"/>
  <c r="M98" i="90" s="1"/>
  <c r="M94" i="90"/>
  <c r="D97" i="90"/>
  <c r="D98" i="90" s="1"/>
  <c r="D94" i="90"/>
  <c r="I27" i="94"/>
  <c r="I30" i="94" s="1"/>
  <c r="I31" i="94" s="1"/>
  <c r="J105" i="62"/>
  <c r="J101" i="62"/>
  <c r="D250" i="18"/>
  <c r="D253" i="18"/>
  <c r="D254" i="18" s="1"/>
  <c r="D120" i="27"/>
  <c r="D116" i="27"/>
  <c r="Q75" i="71"/>
  <c r="Q71" i="71"/>
  <c r="K74" i="81"/>
  <c r="K75" i="81" s="1"/>
  <c r="K71" i="81"/>
  <c r="G61" i="86"/>
  <c r="G62" i="86" s="1"/>
  <c r="G58" i="86"/>
  <c r="F79" i="84"/>
  <c r="F83" i="84"/>
  <c r="J100" i="21"/>
  <c r="J103" i="21" s="1"/>
  <c r="J104" i="21" s="1"/>
  <c r="F38" i="87"/>
  <c r="F39" i="87" s="1"/>
  <c r="F35" i="87"/>
  <c r="M103" i="92"/>
  <c r="M104" i="92" s="1"/>
  <c r="M100" i="92"/>
  <c r="I91" i="77"/>
  <c r="I94" i="77" s="1"/>
  <c r="I95" i="77" s="1"/>
  <c r="K83" i="82"/>
  <c r="K84" i="82" s="1"/>
  <c r="K80" i="82"/>
  <c r="O99" i="9"/>
  <c r="O102" i="9" s="1"/>
  <c r="O103" i="9" s="1"/>
  <c r="Q105" i="62"/>
  <c r="Q101" i="62"/>
  <c r="K87" i="84"/>
  <c r="K88" i="84" s="1"/>
  <c r="K84" i="84"/>
  <c r="L92" i="93"/>
  <c r="L93" i="93" s="1"/>
  <c r="L89" i="93"/>
  <c r="I101" i="45"/>
  <c r="I105" i="45"/>
  <c r="G92" i="33"/>
  <c r="G93" i="33" s="1"/>
  <c r="G89" i="33"/>
  <c r="E26" i="32"/>
  <c r="E30" i="32"/>
  <c r="E221" i="15"/>
  <c r="E225" i="15"/>
  <c r="N123" i="42"/>
  <c r="N124" i="42" s="1"/>
  <c r="N120" i="42"/>
  <c r="E78" i="95"/>
  <c r="E79" i="95" s="1"/>
  <c r="E75" i="95"/>
  <c r="D70" i="48"/>
  <c r="D74" i="48"/>
  <c r="E30" i="20"/>
  <c r="E26" i="20"/>
  <c r="M116" i="27"/>
  <c r="M120" i="27"/>
  <c r="H106" i="62"/>
  <c r="H109" i="62" s="1"/>
  <c r="H110" i="62" s="1"/>
  <c r="Q118" i="75"/>
  <c r="Q43" i="75"/>
  <c r="Q30" i="87"/>
  <c r="Q34" i="87"/>
  <c r="D26" i="14"/>
  <c r="D30" i="14"/>
  <c r="G30" i="11"/>
  <c r="G26" i="11"/>
  <c r="F102" i="9"/>
  <c r="F103" i="9" s="1"/>
  <c r="F99" i="9"/>
  <c r="D70" i="65"/>
  <c r="D73" i="65" s="1"/>
  <c r="D74" i="65" s="1"/>
  <c r="J74" i="81"/>
  <c r="J75" i="81" s="1"/>
  <c r="J71" i="81"/>
  <c r="M91" i="79"/>
  <c r="M92" i="79" s="1"/>
  <c r="M88" i="79"/>
  <c r="F66" i="89"/>
  <c r="F67" i="89" s="1"/>
  <c r="F63" i="89"/>
  <c r="D119" i="75"/>
  <c r="D123" i="75"/>
  <c r="Q30" i="76"/>
  <c r="Q34" i="76"/>
  <c r="K70" i="65"/>
  <c r="K73" i="65" s="1"/>
  <c r="K74" i="65" s="1"/>
  <c r="M35" i="87"/>
  <c r="M38" i="87" s="1"/>
  <c r="M39" i="87" s="1"/>
  <c r="N72" i="72"/>
  <c r="N75" i="72" s="1"/>
  <c r="N76" i="72" s="1"/>
  <c r="I78" i="48"/>
  <c r="I79" i="48" s="1"/>
  <c r="I75" i="48"/>
  <c r="H100" i="92"/>
  <c r="H103" i="92" s="1"/>
  <c r="H104" i="92" s="1"/>
  <c r="E130" i="39"/>
  <c r="E131" i="39" s="1"/>
  <c r="E127" i="39"/>
  <c r="E100" i="21"/>
  <c r="E103" i="21" s="1"/>
  <c r="E104" i="21" s="1"/>
  <c r="K121" i="27"/>
  <c r="K124" i="27" s="1"/>
  <c r="K125" i="27" s="1"/>
  <c r="M123" i="66"/>
  <c r="M124" i="66" s="1"/>
  <c r="M120" i="66"/>
  <c r="E132" i="36"/>
  <c r="E133" i="36" s="1"/>
  <c r="E129" i="36"/>
  <c r="N92" i="93"/>
  <c r="N93" i="93" s="1"/>
  <c r="N89" i="93"/>
  <c r="N62" i="63"/>
  <c r="N65" i="63" s="1"/>
  <c r="N66" i="63" s="1"/>
  <c r="N87" i="69"/>
  <c r="N90" i="69" s="1"/>
  <c r="N91" i="69" s="1"/>
  <c r="O114" i="70"/>
  <c r="O115" i="70" s="1"/>
  <c r="O111" i="70"/>
  <c r="K172" i="30"/>
  <c r="K173" i="30" s="1"/>
  <c r="K169" i="30"/>
  <c r="F98" i="64"/>
  <c r="F99" i="64" s="1"/>
  <c r="F95" i="64"/>
  <c r="K87" i="69"/>
  <c r="K90" i="69" s="1"/>
  <c r="K91" i="69" s="1"/>
  <c r="M65" i="63"/>
  <c r="M66" i="63" s="1"/>
  <c r="M62" i="63"/>
  <c r="Q35" i="76" l="1"/>
  <c r="Q38" i="76" s="1"/>
  <c r="Q39" i="76" s="1"/>
  <c r="M124" i="27"/>
  <c r="M125" i="27" s="1"/>
  <c r="M121" i="27"/>
  <c r="E31" i="32"/>
  <c r="E36" i="32" s="1"/>
  <c r="E37" i="32" s="1"/>
  <c r="F84" i="84"/>
  <c r="F87" i="84" s="1"/>
  <c r="F88" i="84" s="1"/>
  <c r="D80" i="82"/>
  <c r="D83" i="82" s="1"/>
  <c r="D84" i="82" s="1"/>
  <c r="D31" i="23"/>
  <c r="D36" i="23" s="1"/>
  <c r="D37" i="23" s="1"/>
  <c r="D226" i="15"/>
  <c r="D229" i="15" s="1"/>
  <c r="D230" i="15" s="1"/>
  <c r="E31" i="53"/>
  <c r="E36" i="53" s="1"/>
  <c r="E37" i="53" s="1"/>
  <c r="D38" i="76"/>
  <c r="D39" i="76" s="1"/>
  <c r="D35" i="76"/>
  <c r="G31" i="38"/>
  <c r="G36" i="38" s="1"/>
  <c r="G37" i="38" s="1"/>
  <c r="D31" i="25"/>
  <c r="D36" i="25" s="1"/>
  <c r="D37" i="25" s="1"/>
  <c r="Q83" i="56"/>
  <c r="Q84" i="56" s="1"/>
  <c r="Q80" i="56"/>
  <c r="E31" i="47"/>
  <c r="E36" i="47" s="1"/>
  <c r="E37" i="47" s="1"/>
  <c r="G31" i="34"/>
  <c r="G36" i="34" s="1"/>
  <c r="G37" i="34" s="1"/>
  <c r="Q147" i="68"/>
  <c r="Q151" i="68"/>
  <c r="E31" i="41"/>
  <c r="E36" i="41" s="1"/>
  <c r="E37" i="41" s="1"/>
  <c r="E31" i="31"/>
  <c r="E36" i="31" s="1"/>
  <c r="E37" i="31" s="1"/>
  <c r="L80" i="56"/>
  <c r="L83" i="56" s="1"/>
  <c r="L84" i="56" s="1"/>
  <c r="E31" i="44"/>
  <c r="E36" i="44" s="1"/>
  <c r="E37" i="44" s="1"/>
  <c r="D31" i="4"/>
  <c r="D36" i="4" s="1"/>
  <c r="D37" i="4" s="1"/>
  <c r="E31" i="13"/>
  <c r="E36" i="13" s="1"/>
  <c r="E37" i="13" s="1"/>
  <c r="G31" i="7"/>
  <c r="G36" i="7" s="1"/>
  <c r="G37" i="7" s="1"/>
  <c r="G31" i="16"/>
  <c r="G36" i="16" s="1"/>
  <c r="G37" i="16" s="1"/>
  <c r="K114" i="70"/>
  <c r="K115" i="70" s="1"/>
  <c r="K111" i="70"/>
  <c r="G31" i="23"/>
  <c r="G36" i="23" s="1"/>
  <c r="G37" i="23" s="1"/>
  <c r="Q168" i="30"/>
  <c r="Q164" i="30"/>
  <c r="Q132" i="36"/>
  <c r="Q133" i="36" s="1"/>
  <c r="Q129" i="36"/>
  <c r="G152" i="68"/>
  <c r="G155" i="68"/>
  <c r="G156" i="68" s="1"/>
  <c r="N253" i="18"/>
  <c r="N254" i="18" s="1"/>
  <c r="N250" i="18"/>
  <c r="L253" i="18"/>
  <c r="L254" i="18" s="1"/>
  <c r="L250" i="18"/>
  <c r="Q268" i="3"/>
  <c r="Q273" i="3" s="1"/>
  <c r="Q274" i="3" s="1"/>
  <c r="Q97" i="90"/>
  <c r="Q98" i="90" s="1"/>
  <c r="Q94" i="90"/>
  <c r="D127" i="75"/>
  <c r="D128" i="75" s="1"/>
  <c r="D124" i="75"/>
  <c r="D31" i="37"/>
  <c r="D36" i="37" s="1"/>
  <c r="D37" i="37" s="1"/>
  <c r="G31" i="97"/>
  <c r="G36" i="97" s="1"/>
  <c r="G37" i="97" s="1"/>
  <c r="D102" i="24"/>
  <c r="D103" i="24" s="1"/>
  <c r="D99" i="24"/>
  <c r="E31" i="14"/>
  <c r="E36" i="14" s="1"/>
  <c r="E37" i="14" s="1"/>
  <c r="E31" i="22"/>
  <c r="E36" i="22" s="1"/>
  <c r="E37" i="22" s="1"/>
  <c r="D31" i="53"/>
  <c r="D36" i="53" s="1"/>
  <c r="D37" i="53" s="1"/>
  <c r="G31" i="14"/>
  <c r="G36" i="14" s="1"/>
  <c r="G37" i="14" s="1"/>
  <c r="F90" i="69"/>
  <c r="F91" i="69" s="1"/>
  <c r="F87" i="69"/>
  <c r="Q77" i="57"/>
  <c r="Q78" i="57" s="1"/>
  <c r="Q74" i="57"/>
  <c r="G31" i="29"/>
  <c r="G36" i="29" s="1"/>
  <c r="G37" i="29" s="1"/>
  <c r="D31" i="35"/>
  <c r="D36" i="35" s="1"/>
  <c r="D37" i="35" s="1"/>
  <c r="Q73" i="65"/>
  <c r="Q74" i="65" s="1"/>
  <c r="Q70" i="65"/>
  <c r="I169" i="30"/>
  <c r="I172" i="30" s="1"/>
  <c r="I173" i="30" s="1"/>
  <c r="E31" i="96"/>
  <c r="E36" i="96" s="1"/>
  <c r="E37" i="96" s="1"/>
  <c r="E31" i="5"/>
  <c r="E36" i="5" s="1"/>
  <c r="E37" i="5" s="1"/>
  <c r="E31" i="49"/>
  <c r="E36" i="49" s="1"/>
  <c r="E37" i="49" s="1"/>
  <c r="D31" i="34"/>
  <c r="D36" i="34" s="1"/>
  <c r="D37" i="34" s="1"/>
  <c r="K103" i="92"/>
  <c r="K104" i="92" s="1"/>
  <c r="K100" i="92"/>
  <c r="M37" i="78"/>
  <c r="M40" i="78"/>
  <c r="M41" i="78" s="1"/>
  <c r="D54" i="73"/>
  <c r="D57" i="73" s="1"/>
  <c r="D58" i="73" s="1"/>
  <c r="G31" i="11"/>
  <c r="G36" i="11" s="1"/>
  <c r="G37" i="11" s="1"/>
  <c r="E31" i="20"/>
  <c r="E36" i="20" s="1"/>
  <c r="E37" i="20" s="1"/>
  <c r="F129" i="36"/>
  <c r="F132" i="36" s="1"/>
  <c r="F133" i="36" s="1"/>
  <c r="I38" i="76"/>
  <c r="I39" i="76" s="1"/>
  <c r="I35" i="76"/>
  <c r="E31" i="26"/>
  <c r="E36" i="26" s="1"/>
  <c r="E37" i="26" s="1"/>
  <c r="Q83" i="74"/>
  <c r="Q86" i="74" s="1"/>
  <c r="Q87" i="74" s="1"/>
  <c r="Q94" i="77"/>
  <c r="Q95" i="77" s="1"/>
  <c r="Q91" i="77"/>
  <c r="D31" i="50"/>
  <c r="D36" i="50" s="1"/>
  <c r="D37" i="50" s="1"/>
  <c r="Q36" i="85"/>
  <c r="Q37" i="85" s="1"/>
  <c r="Q33" i="85"/>
  <c r="G31" i="32"/>
  <c r="G36" i="32" s="1"/>
  <c r="G37" i="32" s="1"/>
  <c r="D31" i="20"/>
  <c r="D36" i="20" s="1"/>
  <c r="D37" i="20" s="1"/>
  <c r="L36" i="85"/>
  <c r="L37" i="85" s="1"/>
  <c r="L33" i="85"/>
  <c r="D31" i="43"/>
  <c r="D36" i="43" s="1"/>
  <c r="D37" i="43" s="1"/>
  <c r="G31" i="52"/>
  <c r="G36" i="52" s="1"/>
  <c r="G37" i="52" s="1"/>
  <c r="E31" i="43"/>
  <c r="E36" i="43" s="1"/>
  <c r="E37" i="43" s="1"/>
  <c r="O37" i="78"/>
  <c r="O40" i="78" s="1"/>
  <c r="O41" i="78" s="1"/>
  <c r="N76" i="71"/>
  <c r="N79" i="71" s="1"/>
  <c r="N80" i="71" s="1"/>
  <c r="E63" i="67"/>
  <c r="E66" i="67" s="1"/>
  <c r="E67" i="67" s="1"/>
  <c r="E31" i="35"/>
  <c r="E36" i="35" s="1"/>
  <c r="E37" i="35" s="1"/>
  <c r="E268" i="3"/>
  <c r="E273" i="3" s="1"/>
  <c r="E274" i="3" s="1"/>
  <c r="I109" i="62"/>
  <c r="I110" i="62" s="1"/>
  <c r="I106" i="62"/>
  <c r="Q82" i="69"/>
  <c r="Q86" i="69"/>
  <c r="O29" i="91"/>
  <c r="O32" i="91"/>
  <c r="O33" i="91" s="1"/>
  <c r="G31" i="50"/>
  <c r="G36" i="50" s="1"/>
  <c r="G37" i="50" s="1"/>
  <c r="E31" i="38"/>
  <c r="E36" i="38" s="1"/>
  <c r="E37" i="38" s="1"/>
  <c r="J120" i="66"/>
  <c r="J123" i="66"/>
  <c r="J124" i="66" s="1"/>
  <c r="D98" i="83"/>
  <c r="D101" i="83" s="1"/>
  <c r="D102" i="83" s="1"/>
  <c r="F102" i="24"/>
  <c r="F103" i="24" s="1"/>
  <c r="F99" i="24"/>
  <c r="M250" i="18"/>
  <c r="M253" i="18"/>
  <c r="M254" i="18" s="1"/>
  <c r="D85" i="80"/>
  <c r="D86" i="80" s="1"/>
  <c r="D82" i="80"/>
  <c r="D31" i="38"/>
  <c r="D36" i="38" s="1"/>
  <c r="D37" i="38" s="1"/>
  <c r="H80" i="58"/>
  <c r="H83" i="58" s="1"/>
  <c r="H84" i="58" s="1"/>
  <c r="Q100" i="21"/>
  <c r="Q103" i="21" s="1"/>
  <c r="Q104" i="21" s="1"/>
  <c r="L235" i="12"/>
  <c r="L236" i="12" s="1"/>
  <c r="L232" i="12"/>
  <c r="E31" i="4"/>
  <c r="E36" i="4" s="1"/>
  <c r="E37" i="4" s="1"/>
  <c r="N273" i="3"/>
  <c r="N274" i="3" s="1"/>
  <c r="N268" i="3"/>
  <c r="D79" i="71"/>
  <c r="D80" i="71" s="1"/>
  <c r="D76" i="71"/>
  <c r="D31" i="14"/>
  <c r="D36" i="14" s="1"/>
  <c r="D37" i="14" s="1"/>
  <c r="D75" i="48"/>
  <c r="D78" i="48" s="1"/>
  <c r="D79" i="48" s="1"/>
  <c r="I106" i="45"/>
  <c r="I109" i="45" s="1"/>
  <c r="I110" i="45" s="1"/>
  <c r="D31" i="29"/>
  <c r="D36" i="29" s="1"/>
  <c r="D37" i="29" s="1"/>
  <c r="G31" i="47"/>
  <c r="G36" i="47" s="1"/>
  <c r="G37" i="47" s="1"/>
  <c r="D31" i="47"/>
  <c r="D36" i="47" s="1"/>
  <c r="D37" i="47" s="1"/>
  <c r="G31" i="19"/>
  <c r="G36" i="19" s="1"/>
  <c r="G37" i="19" s="1"/>
  <c r="G31" i="10"/>
  <c r="G36" i="10" s="1"/>
  <c r="G37" i="10" s="1"/>
  <c r="D31" i="16"/>
  <c r="D36" i="16" s="1"/>
  <c r="D37" i="16" s="1"/>
  <c r="G31" i="53"/>
  <c r="G36" i="53" s="1"/>
  <c r="G37" i="53" s="1"/>
  <c r="D31" i="96"/>
  <c r="D36" i="96" s="1"/>
  <c r="D37" i="96" s="1"/>
  <c r="E31" i="25"/>
  <c r="E36" i="25" s="1"/>
  <c r="E37" i="25" s="1"/>
  <c r="G31" i="5"/>
  <c r="G36" i="5" s="1"/>
  <c r="G37" i="5" s="1"/>
  <c r="G31" i="44"/>
  <c r="G36" i="44" s="1"/>
  <c r="G37" i="44" s="1"/>
  <c r="Q83" i="82"/>
  <c r="Q84" i="82" s="1"/>
  <c r="Q80" i="82"/>
  <c r="D31" i="40"/>
  <c r="D36" i="40" s="1"/>
  <c r="D37" i="40" s="1"/>
  <c r="M235" i="12"/>
  <c r="M236" i="12" s="1"/>
  <c r="M232" i="12"/>
  <c r="E31" i="46"/>
  <c r="E36" i="46" s="1"/>
  <c r="E37" i="46" s="1"/>
  <c r="E31" i="8"/>
  <c r="E36" i="8" s="1"/>
  <c r="E37" i="8" s="1"/>
  <c r="D31" i="31"/>
  <c r="D36" i="31" s="1"/>
  <c r="D37" i="31" s="1"/>
  <c r="N86" i="74"/>
  <c r="N87" i="74" s="1"/>
  <c r="N83" i="74"/>
  <c r="J75" i="48"/>
  <c r="J78" i="48" s="1"/>
  <c r="J79" i="48" s="1"/>
  <c r="D169" i="30"/>
  <c r="D172" i="30" s="1"/>
  <c r="D173" i="30" s="1"/>
  <c r="G31" i="37"/>
  <c r="G36" i="37" s="1"/>
  <c r="G37" i="37" s="1"/>
  <c r="L121" i="27"/>
  <c r="L124" i="27" s="1"/>
  <c r="L125" i="27" s="1"/>
  <c r="N87" i="84"/>
  <c r="N88" i="84" s="1"/>
  <c r="N84" i="84"/>
  <c r="D31" i="97"/>
  <c r="D36" i="97" s="1"/>
  <c r="D37" i="97" s="1"/>
  <c r="D89" i="33"/>
  <c r="D92" i="33" s="1"/>
  <c r="D93" i="33" s="1"/>
  <c r="H127" i="39"/>
  <c r="H130" i="39" s="1"/>
  <c r="H131" i="39" s="1"/>
  <c r="F235" i="12"/>
  <c r="F236" i="12" s="1"/>
  <c r="F232" i="12"/>
  <c r="D91" i="77"/>
  <c r="D94" i="77" s="1"/>
  <c r="D95" i="77" s="1"/>
  <c r="D31" i="13"/>
  <c r="D36" i="13" s="1"/>
  <c r="D37" i="13" s="1"/>
  <c r="D31" i="28"/>
  <c r="D36" i="28" s="1"/>
  <c r="D37" i="28" s="1"/>
  <c r="E31" i="97"/>
  <c r="E36" i="97" s="1"/>
  <c r="E37" i="97" s="1"/>
  <c r="D31" i="52"/>
  <c r="D36" i="52" s="1"/>
  <c r="D37" i="52" s="1"/>
  <c r="Q66" i="67"/>
  <c r="Q67" i="67" s="1"/>
  <c r="Q63" i="67"/>
  <c r="D31" i="22"/>
  <c r="D36" i="22" s="1"/>
  <c r="D37" i="22" s="1"/>
  <c r="G31" i="35"/>
  <c r="G36" i="35" s="1"/>
  <c r="G37" i="35" s="1"/>
  <c r="G31" i="4"/>
  <c r="G36" i="4" s="1"/>
  <c r="G37" i="4" s="1"/>
  <c r="M98" i="83"/>
  <c r="M101" i="83" s="1"/>
  <c r="M102" i="83" s="1"/>
  <c r="Q78" i="95"/>
  <c r="Q79" i="95" s="1"/>
  <c r="Q75" i="95"/>
  <c r="O109" i="62"/>
  <c r="O110" i="62" s="1"/>
  <c r="O106" i="62"/>
  <c r="L63" i="67"/>
  <c r="L66" i="67" s="1"/>
  <c r="L67" i="67" s="1"/>
  <c r="K36" i="85"/>
  <c r="K37" i="85" s="1"/>
  <c r="K33" i="85"/>
  <c r="D74" i="81"/>
  <c r="D75" i="81" s="1"/>
  <c r="D71" i="81"/>
  <c r="G31" i="98"/>
  <c r="G36" i="98" s="1"/>
  <c r="G37" i="98" s="1"/>
  <c r="Q38" i="87"/>
  <c r="Q39" i="87" s="1"/>
  <c r="Q35" i="87"/>
  <c r="H109" i="45"/>
  <c r="H110" i="45" s="1"/>
  <c r="H106" i="45"/>
  <c r="G31" i="43"/>
  <c r="G36" i="43" s="1"/>
  <c r="G37" i="43" s="1"/>
  <c r="E31" i="10"/>
  <c r="E36" i="10" s="1"/>
  <c r="E37" i="10" s="1"/>
  <c r="Q83" i="58"/>
  <c r="Q84" i="58" s="1"/>
  <c r="Q80" i="58"/>
  <c r="G31" i="41"/>
  <c r="G36" i="41" s="1"/>
  <c r="G37" i="41" s="1"/>
  <c r="I130" i="39"/>
  <c r="I131" i="39" s="1"/>
  <c r="I127" i="39"/>
  <c r="D31" i="98"/>
  <c r="D36" i="98" s="1"/>
  <c r="D37" i="98" s="1"/>
  <c r="Q94" i="24"/>
  <c r="Q98" i="24"/>
  <c r="E31" i="16"/>
  <c r="E36" i="16" s="1"/>
  <c r="E37" i="16" s="1"/>
  <c r="D98" i="64"/>
  <c r="D99" i="64" s="1"/>
  <c r="D95" i="64"/>
  <c r="L152" i="68"/>
  <c r="L155" i="68" s="1"/>
  <c r="L156" i="68" s="1"/>
  <c r="D31" i="10"/>
  <c r="D36" i="10" s="1"/>
  <c r="D37" i="10" s="1"/>
  <c r="F89" i="33"/>
  <c r="F92" i="33" s="1"/>
  <c r="F93" i="33" s="1"/>
  <c r="Q99" i="9"/>
  <c r="Q102" i="9" s="1"/>
  <c r="Q103" i="9" s="1"/>
  <c r="G31" i="22"/>
  <c r="G36" i="22" s="1"/>
  <c r="G37" i="22" s="1"/>
  <c r="J109" i="62"/>
  <c r="J110" i="62" s="1"/>
  <c r="J106" i="62"/>
  <c r="Q76" i="71"/>
  <c r="Q79" i="71" s="1"/>
  <c r="Q80" i="71" s="1"/>
  <c r="E92" i="93"/>
  <c r="E93" i="93" s="1"/>
  <c r="E89" i="93"/>
  <c r="H73" i="65"/>
  <c r="H74" i="65" s="1"/>
  <c r="H70" i="65"/>
  <c r="E31" i="28"/>
  <c r="E36" i="28" s="1"/>
  <c r="E37" i="28" s="1"/>
  <c r="H120" i="66"/>
  <c r="H123" i="66" s="1"/>
  <c r="H124" i="66" s="1"/>
  <c r="I253" i="18"/>
  <c r="I254" i="18" s="1"/>
  <c r="I250" i="18"/>
  <c r="L127" i="39"/>
  <c r="L130" i="39" s="1"/>
  <c r="L131" i="39" s="1"/>
  <c r="H27" i="54"/>
  <c r="H32" i="54" s="1"/>
  <c r="H33" i="54" s="1"/>
  <c r="Q88" i="33"/>
  <c r="Q84" i="33"/>
  <c r="D232" i="12"/>
  <c r="D235" i="12" s="1"/>
  <c r="D236" i="12" s="1"/>
  <c r="Q114" i="51"/>
  <c r="Q115" i="51" s="1"/>
  <c r="Q111" i="51"/>
  <c r="G31" i="26"/>
  <c r="G36" i="26" s="1"/>
  <c r="G37" i="26" s="1"/>
  <c r="J45" i="88"/>
  <c r="J48" i="88" s="1"/>
  <c r="J49" i="88" s="1"/>
  <c r="E31" i="17"/>
  <c r="E36" i="17" s="1"/>
  <c r="E37" i="17" s="1"/>
  <c r="Q61" i="86"/>
  <c r="Q62" i="86" s="1"/>
  <c r="Q58" i="86"/>
  <c r="G31" i="46"/>
  <c r="G36" i="46" s="1"/>
  <c r="G37" i="46" s="1"/>
  <c r="G102" i="24"/>
  <c r="G103" i="24" s="1"/>
  <c r="G99" i="24"/>
  <c r="D31" i="44"/>
  <c r="D36" i="44" s="1"/>
  <c r="D37" i="44" s="1"/>
  <c r="D31" i="17"/>
  <c r="D36" i="17" s="1"/>
  <c r="D37" i="17" s="1"/>
  <c r="H78" i="48"/>
  <c r="H79" i="48" s="1"/>
  <c r="H75" i="48"/>
  <c r="H91" i="77"/>
  <c r="H94" i="77" s="1"/>
  <c r="H95" i="77" s="1"/>
  <c r="Q232" i="12"/>
  <c r="Q235" i="12" s="1"/>
  <c r="Q236" i="12" s="1"/>
  <c r="Q98" i="64"/>
  <c r="Q99" i="64" s="1"/>
  <c r="Q95" i="64"/>
  <c r="Q75" i="48"/>
  <c r="Q78" i="48" s="1"/>
  <c r="Q79" i="48" s="1"/>
  <c r="L98" i="83"/>
  <c r="L101" i="83" s="1"/>
  <c r="L102" i="83" s="1"/>
  <c r="E31" i="23"/>
  <c r="E36" i="23" s="1"/>
  <c r="E37" i="23" s="1"/>
  <c r="D31" i="41"/>
  <c r="D36" i="41" s="1"/>
  <c r="D37" i="41" s="1"/>
  <c r="F152" i="68"/>
  <c r="F155" i="68" s="1"/>
  <c r="F156" i="68" s="1"/>
  <c r="G31" i="49"/>
  <c r="G36" i="49" s="1"/>
  <c r="G37" i="49" s="1"/>
  <c r="I88" i="79"/>
  <c r="I91" i="79" s="1"/>
  <c r="I92" i="79" s="1"/>
  <c r="D31" i="49"/>
  <c r="D36" i="49" s="1"/>
  <c r="D37" i="49" s="1"/>
  <c r="D31" i="5"/>
  <c r="D36" i="5" s="1"/>
  <c r="D37" i="5" s="1"/>
  <c r="J103" i="92"/>
  <c r="J104" i="92" s="1"/>
  <c r="J100" i="92"/>
  <c r="E31" i="98"/>
  <c r="E36" i="98" s="1"/>
  <c r="E37" i="98" s="1"/>
  <c r="Q245" i="18"/>
  <c r="Q249" i="18"/>
  <c r="E90" i="69"/>
  <c r="E91" i="69" s="1"/>
  <c r="E87" i="69"/>
  <c r="D31" i="32"/>
  <c r="D36" i="32" s="1"/>
  <c r="D37" i="32" s="1"/>
  <c r="E31" i="29"/>
  <c r="E36" i="29" s="1"/>
  <c r="E37" i="29" s="1"/>
  <c r="Q226" i="15"/>
  <c r="Q229" i="15" s="1"/>
  <c r="Q230" i="15" s="1"/>
  <c r="G31" i="96"/>
  <c r="G36" i="96" s="1"/>
  <c r="G37" i="96" s="1"/>
  <c r="Q119" i="75"/>
  <c r="Q123" i="75"/>
  <c r="D124" i="27"/>
  <c r="D125" i="27" s="1"/>
  <c r="D121" i="27"/>
  <c r="E88" i="79"/>
  <c r="E91" i="79" s="1"/>
  <c r="E92" i="79" s="1"/>
  <c r="E31" i="37"/>
  <c r="E36" i="37" s="1"/>
  <c r="E37" i="37" s="1"/>
  <c r="L90" i="69"/>
  <c r="L91" i="69" s="1"/>
  <c r="L87" i="69"/>
  <c r="Q82" i="80"/>
  <c r="Q85" i="80" s="1"/>
  <c r="Q86" i="80" s="1"/>
  <c r="O109" i="45"/>
  <c r="O110" i="45" s="1"/>
  <c r="O106" i="45"/>
  <c r="K127" i="75"/>
  <c r="K128" i="75" s="1"/>
  <c r="K124" i="75"/>
  <c r="G31" i="28"/>
  <c r="G36" i="28" s="1"/>
  <c r="G37" i="28" s="1"/>
  <c r="E232" i="12"/>
  <c r="E235" i="12" s="1"/>
  <c r="E236" i="12" s="1"/>
  <c r="E31" i="40"/>
  <c r="E36" i="40" s="1"/>
  <c r="E37" i="40" s="1"/>
  <c r="E31" i="11"/>
  <c r="E36" i="11" s="1"/>
  <c r="E37" i="11" s="1"/>
  <c r="E30" i="94"/>
  <c r="E31" i="94" s="1"/>
  <c r="E27" i="94"/>
  <c r="G31" i="40"/>
  <c r="G36" i="40" s="1"/>
  <c r="G37" i="40" s="1"/>
  <c r="Q54" i="73"/>
  <c r="Q57" i="73"/>
  <c r="Q58" i="73" s="1"/>
  <c r="J97" i="90"/>
  <c r="J98" i="90" s="1"/>
  <c r="J94" i="90"/>
  <c r="E127" i="75"/>
  <c r="E128" i="75" s="1"/>
  <c r="E124" i="75"/>
  <c r="D31" i="46"/>
  <c r="D36" i="46" s="1"/>
  <c r="D37" i="46" s="1"/>
  <c r="D31" i="26"/>
  <c r="D36" i="26" s="1"/>
  <c r="D37" i="26" s="1"/>
  <c r="I120" i="66"/>
  <c r="I123" i="66" s="1"/>
  <c r="I124" i="66" s="1"/>
  <c r="F63" i="67"/>
  <c r="F66" i="67"/>
  <c r="F67" i="67" s="1"/>
  <c r="K63" i="67"/>
  <c r="K66" i="67" s="1"/>
  <c r="K67" i="67" s="1"/>
  <c r="E226" i="15"/>
  <c r="E229" i="15" s="1"/>
  <c r="E230" i="15" s="1"/>
  <c r="E31" i="34"/>
  <c r="E36" i="34" s="1"/>
  <c r="E37" i="34" s="1"/>
  <c r="F172" i="30"/>
  <c r="F173" i="30" s="1"/>
  <c r="F169" i="30"/>
  <c r="J66" i="67"/>
  <c r="J67" i="67" s="1"/>
  <c r="J63" i="67"/>
  <c r="K268" i="3"/>
  <c r="K273" i="3" s="1"/>
  <c r="K274" i="3" s="1"/>
  <c r="Q120" i="42"/>
  <c r="Q123" i="42" s="1"/>
  <c r="Q124" i="42" s="1"/>
  <c r="I97" i="90"/>
  <c r="I98" i="90" s="1"/>
  <c r="I94" i="90"/>
  <c r="E31" i="19"/>
  <c r="E36" i="19" s="1"/>
  <c r="E37" i="19" s="1"/>
  <c r="D31" i="19"/>
  <c r="D36" i="19" s="1"/>
  <c r="D37" i="19" s="1"/>
  <c r="F39" i="55"/>
  <c r="F40" i="55" s="1"/>
  <c r="F36" i="55"/>
  <c r="G31" i="31"/>
  <c r="G36" i="31" s="1"/>
  <c r="G37" i="31" s="1"/>
  <c r="G31" i="8"/>
  <c r="G36" i="8" s="1"/>
  <c r="G37" i="8" s="1"/>
  <c r="D31" i="7"/>
  <c r="D36" i="7" s="1"/>
  <c r="D37" i="7" s="1"/>
  <c r="G169" i="30"/>
  <c r="G172" i="30"/>
  <c r="G173" i="30" s="1"/>
  <c r="E102" i="24"/>
  <c r="E103" i="24" s="1"/>
  <c r="E99" i="24"/>
  <c r="G31" i="17"/>
  <c r="G36" i="17" s="1"/>
  <c r="G37" i="17" s="1"/>
  <c r="Q72" i="72"/>
  <c r="Q75" i="72" s="1"/>
  <c r="Q76" i="72" s="1"/>
  <c r="G31" i="13"/>
  <c r="G36" i="13" s="1"/>
  <c r="G37" i="13" s="1"/>
  <c r="M152" i="68"/>
  <c r="M155" i="68" s="1"/>
  <c r="M156" i="68" s="1"/>
  <c r="D127" i="39"/>
  <c r="D130" i="39" s="1"/>
  <c r="D131" i="39" s="1"/>
  <c r="Q109" i="62"/>
  <c r="Q110" i="62" s="1"/>
  <c r="Q106" i="62"/>
  <c r="E31" i="52"/>
  <c r="E36" i="52" s="1"/>
  <c r="E37" i="52" s="1"/>
  <c r="Q71" i="81"/>
  <c r="Q74" i="81" s="1"/>
  <c r="Q75" i="81" s="1"/>
  <c r="D78" i="95"/>
  <c r="D79" i="95" s="1"/>
  <c r="D75" i="95"/>
  <c r="H152" i="68"/>
  <c r="H155" i="68" s="1"/>
  <c r="H156" i="68" s="1"/>
  <c r="H124" i="75"/>
  <c r="H127" i="75" s="1"/>
  <c r="H128" i="75" s="1"/>
  <c r="D31" i="8"/>
  <c r="D36" i="8" s="1"/>
  <c r="D37" i="8" s="1"/>
  <c r="N124" i="27"/>
  <c r="N125" i="27" s="1"/>
  <c r="N121" i="27"/>
  <c r="Q111" i="70"/>
  <c r="Q114" i="70"/>
  <c r="Q115" i="70" s="1"/>
  <c r="J172" i="30"/>
  <c r="J173" i="30" s="1"/>
  <c r="J169" i="30"/>
  <c r="D61" i="86"/>
  <c r="D62" i="86" s="1"/>
  <c r="D58" i="86"/>
  <c r="Q89" i="93"/>
  <c r="Q92" i="93" s="1"/>
  <c r="Q93" i="93" s="1"/>
  <c r="D31" i="11"/>
  <c r="D36" i="11" s="1"/>
  <c r="D37" i="11" s="1"/>
  <c r="L124" i="75"/>
  <c r="L127" i="75" s="1"/>
  <c r="L128" i="75" s="1"/>
  <c r="Q119" i="66"/>
  <c r="Q115" i="66"/>
  <c r="E253" i="18"/>
  <c r="E254" i="18" s="1"/>
  <c r="E250" i="18"/>
  <c r="F77" i="57"/>
  <c r="F78" i="57" s="1"/>
  <c r="F74" i="57"/>
  <c r="Q97" i="83"/>
  <c r="Q93" i="83"/>
  <c r="Q99" i="92"/>
  <c r="Q95" i="92"/>
  <c r="E31" i="50"/>
  <c r="E36" i="50" s="1"/>
  <c r="E37" i="50" s="1"/>
  <c r="D63" i="67"/>
  <c r="D66" i="67" s="1"/>
  <c r="D67" i="67" s="1"/>
  <c r="L77" i="57"/>
  <c r="L78" i="57" s="1"/>
  <c r="L74" i="57"/>
  <c r="D92" i="93"/>
  <c r="D93" i="93" s="1"/>
  <c r="D89" i="93"/>
  <c r="Q126" i="39"/>
  <c r="Q122" i="39"/>
  <c r="Q84" i="84"/>
  <c r="Q87" i="84" s="1"/>
  <c r="Q88" i="84" s="1"/>
  <c r="J253" i="18"/>
  <c r="J254" i="18" s="1"/>
  <c r="J250" i="18"/>
  <c r="F120" i="42"/>
  <c r="F123" i="42"/>
  <c r="F124" i="42" s="1"/>
  <c r="G31" i="20"/>
  <c r="G36" i="20" s="1"/>
  <c r="G37" i="20" s="1"/>
  <c r="E31" i="7"/>
  <c r="E36" i="7" s="1"/>
  <c r="E37" i="7" s="1"/>
  <c r="M76" i="71"/>
  <c r="M79" i="71" s="1"/>
  <c r="M80" i="71" s="1"/>
  <c r="G31" i="25"/>
  <c r="G36" i="25" s="1"/>
  <c r="G37" i="25" s="1"/>
  <c r="Q124" i="27"/>
  <c r="Q125" i="27" s="1"/>
  <c r="Q121" i="27"/>
  <c r="Q106" i="45"/>
  <c r="Q109" i="45" s="1"/>
  <c r="Q110" i="45" s="1"/>
  <c r="Q92" i="33" l="1"/>
  <c r="Q93" i="33" s="1"/>
  <c r="Q89" i="33"/>
  <c r="Q120" i="66"/>
  <c r="Q123" i="66" s="1"/>
  <c r="Q124" i="66" s="1"/>
  <c r="Q90" i="69"/>
  <c r="Q91" i="69" s="1"/>
  <c r="Q87" i="69"/>
  <c r="Q155" i="68"/>
  <c r="Q156" i="68" s="1"/>
  <c r="Q152" i="68"/>
  <c r="Q124" i="75"/>
  <c r="Q127" i="75" s="1"/>
  <c r="Q128" i="75" s="1"/>
  <c r="Q250" i="18"/>
  <c r="Q253" i="18" s="1"/>
  <c r="Q254" i="18" s="1"/>
  <c r="Q100" i="92"/>
  <c r="Q103" i="92" s="1"/>
  <c r="Q104" i="92" s="1"/>
  <c r="Q169" i="30"/>
  <c r="Q172" i="30" s="1"/>
  <c r="Q173" i="30" s="1"/>
  <c r="Q102" i="24"/>
  <c r="Q103" i="24" s="1"/>
  <c r="Q99" i="24"/>
  <c r="Q127" i="39"/>
  <c r="Q130" i="39" s="1"/>
  <c r="Q131" i="39" s="1"/>
  <c r="Q98" i="83"/>
  <c r="Q101" i="83" s="1"/>
  <c r="Q102" i="83" s="1"/>
</calcChain>
</file>

<file path=xl/sharedStrings.xml><?xml version="1.0" encoding="utf-8"?>
<sst xmlns="http://schemas.openxmlformats.org/spreadsheetml/2006/main" count="2498" uniqueCount="312">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</sst>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0" fillId="0" borderId="0" xfId="0" applyFont="1" applyFill="1" applyBorder="1"/>
    <xf numFmtId="0" fontId="3" fillId="2" borderId="0" xfId="0" applyFont="1" applyFill="1" applyAlignment="1">
      <alignment horizontal="center"/>
    </xf>
    <xf numFmtId="164" fontId="0" fillId="0" borderId="0" xfId="1" applyNumberFormat="1" applyFont="1"/>
    <xf numFmtId="164" fontId="3" fillId="0" borderId="0" xfId="1" applyNumberFormat="1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0" fontId="1" fillId="0" borderId="0" xfId="0" applyFont="1" applyFill="1"/>
    <xf numFmtId="49" fontId="1" fillId="0" borderId="0" xfId="0" applyNumberFormat="1" applyFont="1" applyFill="1"/>
    <xf numFmtId="0" fontId="0" fillId="0" borderId="0" xfId="0" applyFont="1"/>
    <xf numFmtId="49" fontId="3" fillId="0" borderId="0" xfId="0" applyNumberFormat="1" applyFont="1" applyFill="1"/>
    <xf numFmtId="0" fontId="4" fillId="0" borderId="0" xfId="0" applyFont="1"/>
    <xf numFmtId="165" fontId="5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6" fillId="0" borderId="0" xfId="0" applyFont="1" applyFill="1"/>
    <xf numFmtId="0" fontId="0" fillId="0" borderId="0" xfId="0" applyBorder="1"/>
    <xf numFmtId="0" fontId="5" fillId="0" borderId="0" xfId="0" applyFont="1" applyAlignment="1">
      <alignment horizontal="left"/>
    </xf>
    <xf numFmtId="0" fontId="3" fillId="0" borderId="0" xfId="0" applyFont="1" applyFill="1" applyBorder="1"/>
    <xf numFmtId="0" fontId="3" fillId="0" borderId="0" xfId="0" quotePrefix="1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0" borderId="0" xfId="0" applyNumberFormat="1"/>
    <xf numFmtId="49" fontId="0" fillId="3" borderId="3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175</v>
      </c>
      <c r="B3" s="19" t="s">
        <v>193</v>
      </c>
      <c r="C3" s="19" t="s">
        <v>237</v>
      </c>
      <c r="D3" s="19" t="s">
        <v>96</v>
      </c>
      <c r="E3" s="19" t="s">
        <v>155</v>
      </c>
      <c r="F3" s="19" t="s">
        <v>0</v>
      </c>
      <c r="G3" s="19" t="s">
        <v>176</v>
      </c>
      <c r="H3" s="19" t="s">
        <v>51</v>
      </c>
      <c r="I3" s="19" t="s">
        <v>97</v>
      </c>
      <c r="J3" s="19" t="s">
        <v>213</v>
      </c>
      <c r="K3" s="19" t="s">
        <v>135</v>
      </c>
      <c r="L3" s="19" t="s">
        <v>214</v>
      </c>
      <c r="M3" s="19" t="s">
        <v>74</v>
      </c>
      <c r="N3" s="19" t="s">
        <v>75</v>
      </c>
      <c r="O3" s="19" t="s">
        <v>177</v>
      </c>
      <c r="P3" s="19" t="s">
        <v>194</v>
      </c>
      <c r="Q3" s="19" t="s">
        <v>17</v>
      </c>
      <c r="R3" s="19" t="s">
        <v>18</v>
      </c>
      <c r="S3" s="19" t="s">
        <v>52</v>
      </c>
      <c r="T3" s="19" t="s">
        <v>215</v>
      </c>
      <c r="U3" s="19" t="s">
        <v>268</v>
      </c>
      <c r="V3" s="19" t="s">
        <v>286</v>
      </c>
      <c r="W3" s="19" t="s">
        <v>178</v>
      </c>
      <c r="X3" s="19" t="s">
        <v>269</v>
      </c>
      <c r="Y3" s="19" t="s">
        <v>99</v>
      </c>
      <c r="Z3" s="19" t="s">
        <v>251</v>
      </c>
      <c r="AA3" s="19" t="s">
        <v>156</v>
      </c>
      <c r="AB3" s="19" t="s">
        <v>270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195</v>
      </c>
      <c r="AH3" s="19" t="s">
        <v>38</v>
      </c>
      <c r="AI3" s="19" t="s">
        <v>271</v>
      </c>
      <c r="AJ3" s="19" t="s">
        <v>272</v>
      </c>
      <c r="AK3" s="19" t="s">
        <v>76</v>
      </c>
      <c r="AL3" s="19" t="s">
        <v>252</v>
      </c>
      <c r="AM3" s="19" t="s">
        <v>253</v>
      </c>
      <c r="AN3" s="19" t="s">
        <v>235</v>
      </c>
      <c r="AO3" s="19" t="s">
        <v>308</v>
      </c>
      <c r="AP3" s="19" t="s">
        <v>309</v>
      </c>
      <c r="AQ3" s="19" t="s">
        <v>121</v>
      </c>
      <c r="AR3" s="19" t="s">
        <v>179</v>
      </c>
      <c r="AS3" s="19" t="s">
        <v>236</v>
      </c>
      <c r="AT3" s="19" t="s">
        <v>273</v>
      </c>
      <c r="AU3" s="19" t="s">
        <v>216</v>
      </c>
      <c r="AV3" s="19" t="s">
        <v>120</v>
      </c>
      <c r="AW3" s="19" t="s">
        <v>98</v>
      </c>
      <c r="AX3" s="19" t="s">
        <v>287</v>
      </c>
      <c r="AY3" s="19" t="s">
        <v>20</v>
      </c>
      <c r="AZ3" s="19" t="s">
        <v>288</v>
      </c>
      <c r="BA3" s="19" t="s">
        <v>275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255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255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311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311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197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197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237</v>
      </c>
      <c r="B3" s="19" t="s">
        <v>293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158</v>
      </c>
      <c r="I3" s="19" t="s">
        <v>106</v>
      </c>
      <c r="J3" s="19" t="s">
        <v>238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159</v>
      </c>
      <c r="Q3" s="19" t="s">
        <v>26</v>
      </c>
      <c r="R3" s="19" t="s">
        <v>182</v>
      </c>
      <c r="S3" s="19" t="s">
        <v>183</v>
      </c>
      <c r="T3" s="19" t="s">
        <v>200</v>
      </c>
      <c r="U3" s="19" t="s">
        <v>27</v>
      </c>
      <c r="V3" s="19" t="s">
        <v>239</v>
      </c>
      <c r="W3" s="19" t="s">
        <v>256</v>
      </c>
      <c r="X3" s="19" t="s">
        <v>201</v>
      </c>
      <c r="Y3" s="19" t="s">
        <v>184</v>
      </c>
      <c r="Z3" s="19" t="s">
        <v>1</v>
      </c>
      <c r="AA3" s="19" t="s">
        <v>276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220</v>
      </c>
      <c r="AH3" s="19" t="s">
        <v>160</v>
      </c>
      <c r="AI3" s="19" t="s">
        <v>202</v>
      </c>
      <c r="AJ3" s="19" t="s">
        <v>59</v>
      </c>
      <c r="AK3" s="19" t="s">
        <v>129</v>
      </c>
      <c r="AL3" s="19" t="s">
        <v>294</v>
      </c>
      <c r="AM3" s="19" t="s">
        <v>203</v>
      </c>
      <c r="AN3" s="19" t="s">
        <v>60</v>
      </c>
      <c r="AO3" s="19" t="s">
        <v>28</v>
      </c>
      <c r="AP3" s="19" t="s">
        <v>204</v>
      </c>
      <c r="AQ3" s="19" t="s">
        <v>61</v>
      </c>
      <c r="AR3" s="19" t="s">
        <v>257</v>
      </c>
      <c r="AS3" s="19" t="s">
        <v>221</v>
      </c>
      <c r="AT3" s="19" t="s">
        <v>3</v>
      </c>
      <c r="AU3" s="19" t="s">
        <v>277</v>
      </c>
      <c r="AV3" s="19" t="s">
        <v>138</v>
      </c>
      <c r="AW3" s="19" t="s">
        <v>4</v>
      </c>
      <c r="AX3" s="19" t="s">
        <v>82</v>
      </c>
      <c r="AY3" s="19" t="s">
        <v>295</v>
      </c>
      <c r="AZ3" s="19" t="s">
        <v>62</v>
      </c>
      <c r="BA3" s="19" t="s">
        <v>222</v>
      </c>
      <c r="BB3" s="19" t="s">
        <v>63</v>
      </c>
      <c r="BC3" s="19" t="s">
        <v>240</v>
      </c>
      <c r="BD3" s="19" t="s">
        <v>278</v>
      </c>
      <c r="BE3" s="19" t="s">
        <v>139</v>
      </c>
      <c r="BF3" s="19" t="s">
        <v>296</v>
      </c>
      <c r="BG3" s="19" t="s">
        <v>109</v>
      </c>
      <c r="BH3" s="19" t="s">
        <v>110</v>
      </c>
      <c r="BI3" s="19" t="s">
        <v>241</v>
      </c>
      <c r="BJ3" s="19" t="s">
        <v>223</v>
      </c>
      <c r="BK3" s="19" t="s">
        <v>64</v>
      </c>
      <c r="BL3" s="19" t="s">
        <v>161</v>
      </c>
      <c r="BM3" s="19" t="s">
        <v>279</v>
      </c>
      <c r="BN3" s="19" t="s">
        <v>224</v>
      </c>
      <c r="BO3" s="19" t="s">
        <v>297</v>
      </c>
      <c r="BP3" s="19" t="s">
        <v>140</v>
      </c>
      <c r="BQ3" s="19" t="s">
        <v>225</v>
      </c>
      <c r="BR3" s="19" t="s">
        <v>130</v>
      </c>
      <c r="BS3" s="19" t="s">
        <v>205</v>
      </c>
      <c r="BT3" s="19" t="s">
        <v>65</v>
      </c>
      <c r="BU3" s="19" t="s">
        <v>226</v>
      </c>
      <c r="BV3" s="19" t="s">
        <v>258</v>
      </c>
      <c r="BW3" s="19" t="s">
        <v>298</v>
      </c>
      <c r="BX3" s="19" t="s">
        <v>162</v>
      </c>
      <c r="BY3" s="19" t="s">
        <v>280</v>
      </c>
      <c r="BZ3" s="19" t="s">
        <v>141</v>
      </c>
      <c r="CA3" s="19" t="s">
        <v>5</v>
      </c>
      <c r="CB3" s="19" t="s">
        <v>111</v>
      </c>
      <c r="CC3" s="19" t="s">
        <v>206</v>
      </c>
      <c r="CD3" s="19" t="s">
        <v>42</v>
      </c>
      <c r="CE3" s="19" t="s">
        <v>227</v>
      </c>
      <c r="CF3" s="19" t="s">
        <v>43</v>
      </c>
      <c r="CG3" s="19" t="s">
        <v>281</v>
      </c>
      <c r="CH3" s="19" t="s">
        <v>185</v>
      </c>
      <c r="CI3" s="19" t="s">
        <v>131</v>
      </c>
      <c r="CJ3" s="19" t="s">
        <v>299</v>
      </c>
      <c r="CK3" s="19" t="s">
        <v>112</v>
      </c>
      <c r="CL3" s="19" t="s">
        <v>142</v>
      </c>
      <c r="CM3" s="19" t="s">
        <v>143</v>
      </c>
      <c r="CN3" s="19" t="s">
        <v>207</v>
      </c>
      <c r="CO3" s="19" t="s">
        <v>83</v>
      </c>
      <c r="CP3" s="19" t="s">
        <v>163</v>
      </c>
      <c r="CQ3" s="19" t="s">
        <v>300</v>
      </c>
      <c r="CR3" s="19" t="s">
        <v>132</v>
      </c>
      <c r="CS3" s="19" t="s">
        <v>282</v>
      </c>
      <c r="CT3" s="19" t="s">
        <v>164</v>
      </c>
      <c r="CU3" s="19" t="s">
        <v>228</v>
      </c>
      <c r="CV3" s="19" t="s">
        <v>165</v>
      </c>
      <c r="CW3" s="19" t="s">
        <v>113</v>
      </c>
      <c r="CX3" s="19" t="s">
        <v>44</v>
      </c>
      <c r="CY3" s="19" t="s">
        <v>242</v>
      </c>
      <c r="CZ3" s="19" t="s">
        <v>259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186</v>
      </c>
      <c r="DG3" s="19" t="s">
        <v>45</v>
      </c>
      <c r="DH3" s="19" t="s">
        <v>229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301</v>
      </c>
      <c r="DN3" s="19" t="s">
        <v>166</v>
      </c>
      <c r="DO3" s="19" t="s">
        <v>133</v>
      </c>
      <c r="DP3" s="19" t="s">
        <v>208</v>
      </c>
      <c r="DQ3" s="19" t="s">
        <v>9</v>
      </c>
      <c r="DR3" s="19" t="s">
        <v>67</v>
      </c>
      <c r="DS3" s="19" t="s">
        <v>243</v>
      </c>
      <c r="DT3" s="19" t="s">
        <v>167</v>
      </c>
      <c r="DU3" s="19" t="s">
        <v>68</v>
      </c>
      <c r="DV3" s="19" t="s">
        <v>302</v>
      </c>
      <c r="DW3" s="19" t="s">
        <v>168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244</v>
      </c>
      <c r="EC3" s="19" t="s">
        <v>230</v>
      </c>
      <c r="ED3" s="19" t="s">
        <v>86</v>
      </c>
      <c r="EE3" s="19" t="s">
        <v>187</v>
      </c>
      <c r="EF3" s="19" t="s">
        <v>33</v>
      </c>
      <c r="EG3" s="19" t="s">
        <v>10</v>
      </c>
      <c r="EH3" s="19" t="s">
        <v>303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209</v>
      </c>
      <c r="EO3" s="19" t="s">
        <v>231</v>
      </c>
      <c r="EP3" s="19" t="s">
        <v>283</v>
      </c>
      <c r="EQ3" s="19" t="s">
        <v>169</v>
      </c>
      <c r="ER3" s="19" t="s">
        <v>147</v>
      </c>
      <c r="ES3" s="19" t="s">
        <v>245</v>
      </c>
      <c r="ET3" s="19" t="s">
        <v>70</v>
      </c>
      <c r="EU3" s="19" t="s">
        <v>260</v>
      </c>
      <c r="EV3" s="19" t="s">
        <v>261</v>
      </c>
      <c r="EW3" s="19" t="s">
        <v>232</v>
      </c>
      <c r="EX3" s="19" t="s">
        <v>304</v>
      </c>
      <c r="EY3" s="19" t="s">
        <v>246</v>
      </c>
      <c r="EZ3" s="19" t="s">
        <v>247</v>
      </c>
      <c r="FA3" s="19" t="s">
        <v>34</v>
      </c>
      <c r="FB3" s="19" t="s">
        <v>305</v>
      </c>
      <c r="FC3" s="19" t="s">
        <v>48</v>
      </c>
      <c r="FD3" s="19" t="s">
        <v>88</v>
      </c>
      <c r="FE3" s="19" t="s">
        <v>233</v>
      </c>
      <c r="FF3" s="19" t="s">
        <v>114</v>
      </c>
      <c r="FG3" s="19" t="s">
        <v>89</v>
      </c>
      <c r="FH3" s="19" t="s">
        <v>90</v>
      </c>
      <c r="FI3" s="19" t="s">
        <v>262</v>
      </c>
      <c r="FJ3" s="19" t="s">
        <v>188</v>
      </c>
      <c r="FK3" s="19" t="s">
        <v>189</v>
      </c>
      <c r="FL3" s="19" t="s">
        <v>170</v>
      </c>
      <c r="FM3" s="19" t="s">
        <v>148</v>
      </c>
      <c r="FN3" s="19" t="s">
        <v>115</v>
      </c>
      <c r="FO3" s="19" t="s">
        <v>171</v>
      </c>
      <c r="FP3" s="19" t="s">
        <v>263</v>
      </c>
      <c r="FQ3" s="19" t="s">
        <v>248</v>
      </c>
      <c r="FR3" s="19" t="s">
        <v>210</v>
      </c>
      <c r="FS3" s="19" t="s">
        <v>284</v>
      </c>
      <c r="FT3" s="19" t="s">
        <v>149</v>
      </c>
      <c r="FU3" s="19" t="s">
        <v>12</v>
      </c>
      <c r="FV3" s="19" t="s">
        <v>190</v>
      </c>
      <c r="FW3" s="19" t="s">
        <v>91</v>
      </c>
      <c r="FX3" s="19" t="s">
        <v>150</v>
      </c>
      <c r="FY3" s="19" t="s">
        <v>172</v>
      </c>
      <c r="FZ3" s="19" t="s">
        <v>92</v>
      </c>
      <c r="GA3" s="19" t="s">
        <v>264</v>
      </c>
      <c r="GB3" s="19" t="s">
        <v>35</v>
      </c>
      <c r="GC3" s="19" t="s">
        <v>36</v>
      </c>
      <c r="GD3" s="19" t="s">
        <v>285</v>
      </c>
      <c r="GE3" s="19" t="s">
        <v>116</v>
      </c>
      <c r="GF3" s="19" t="s">
        <v>234</v>
      </c>
      <c r="GG3" s="19" t="s">
        <v>191</v>
      </c>
      <c r="GH3" s="19" t="s">
        <v>192</v>
      </c>
      <c r="GI3" s="19" t="s">
        <v>265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306</v>
      </c>
      <c r="GP3" s="19" t="s">
        <v>211</v>
      </c>
      <c r="GQ3" s="19" t="s">
        <v>72</v>
      </c>
      <c r="GR3" s="19" t="s">
        <v>173</v>
      </c>
      <c r="GS3" s="19" t="s">
        <v>151</v>
      </c>
      <c r="GT3" s="19" t="s">
        <v>118</v>
      </c>
      <c r="GU3" s="19" t="s">
        <v>249</v>
      </c>
      <c r="GV3" s="19" t="s">
        <v>49</v>
      </c>
      <c r="GW3" s="19" t="s">
        <v>14</v>
      </c>
      <c r="GX3" s="19" t="s">
        <v>307</v>
      </c>
      <c r="GY3" s="19" t="s">
        <v>93</v>
      </c>
      <c r="GZ3" s="19" t="s">
        <v>266</v>
      </c>
      <c r="HA3" s="19" t="s">
        <v>174</v>
      </c>
      <c r="HB3" s="19" t="s">
        <v>212</v>
      </c>
      <c r="HC3" s="19" t="s">
        <v>250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267</v>
      </c>
      <c r="HK3" s="19"/>
      <c r="HL3" s="19" t="s">
        <v>2</v>
      </c>
      <c r="HM3" s="38"/>
      <c r="HN3" s="19" t="s">
        <v>275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78"/>
  <sheetViews>
    <sheetView tabSelected="1" zoomScale="80" workbookViewId="0">
      <pane xSplit="3" ySplit="8" topLeftCell="D263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136</v>
      </c>
    </row>
    <row r="4" spans="1:18" x14ac:dyDescent="0.25">
      <c r="B4" s="33" t="s">
        <v>199</v>
      </c>
    </row>
    <row r="5" spans="1:18" ht="15" customHeight="1" x14ac:dyDescent="0.25">
      <c r="A5" s="15"/>
      <c r="B5" s="15" t="s">
        <v>310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SUM(OSRRefD11x_7)</f>
        <v>546130.33000000007</v>
      </c>
      <c r="L10" s="3">
        <f>SUM(OSRRefD11x_8)</f>
        <v>813766.71</v>
      </c>
      <c r="M10" s="3">
        <f>SUM(OSRRefD11x_9)</f>
        <v>1038672.75</v>
      </c>
      <c r="N10" s="3">
        <f>SUM(OSRRefE11x_0)</f>
        <v>473502.5</v>
      </c>
      <c r="O10" s="3">
        <f>SUM(OSRRefE11x_1)</f>
        <v>508786.9</v>
      </c>
      <c r="P10" s="24"/>
      <c r="Q10" s="3">
        <f>SUM(OSRRefG11x)</f>
        <v>9986114.8499999996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v>342557.5</v>
      </c>
      <c r="O11" s="2">
        <v>431621.9</v>
      </c>
      <c r="Q11" s="2">
        <f>SUM(OSRRefD11_0x)+IFERROR(SUM(OSRRefE11_0x),0)</f>
        <v>638176.10000000009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/>
      <c r="O12" s="2"/>
      <c r="Q12" s="2">
        <f>SUM(OSRRefD11_1x)+IFERROR(SUM(OSRRefE11_1x),0)</f>
        <v>1263810.3599999999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/>
      <c r="O13" s="2"/>
      <c r="Q13" s="2">
        <f>SUM(OSRRefD11_2x)+IFERROR(SUM(OSRRefE11_2x),0)</f>
        <v>578768.63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/>
      <c r="O19" s="2"/>
      <c r="Q19" s="2">
        <f>SUM(OSRRefD11_8x)+IFERROR(SUM(OSRRefE11_8x),0)</f>
        <v>486.17</v>
      </c>
    </row>
    <row r="20" spans="1:17" s="9" customFormat="1" hidden="1" outlineLevel="1" x14ac:dyDescent="0.25">
      <c r="A20" s="23"/>
      <c r="B20" s="10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/>
      <c r="O20" s="2"/>
      <c r="Q20" s="2">
        <f>SUM(OSRRefD11_9x)+IFERROR(SUM(OSRRefE11_9x),0)</f>
        <v>64070.97</v>
      </c>
    </row>
    <row r="21" spans="1:17" s="9" customFormat="1" hidden="1" outlineLevel="1" x14ac:dyDescent="0.25">
      <c r="A21" s="23"/>
      <c r="B21" s="10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/>
      <c r="O21" s="2"/>
      <c r="Q21" s="2">
        <f>SUM(OSRRefD11_10x)+IFERROR(SUM(OSRRefE11_10x),0)</f>
        <v>46900.170000000006</v>
      </c>
    </row>
    <row r="22" spans="1:17" s="9" customFormat="1" hidden="1" outlineLevel="1" x14ac:dyDescent="0.25">
      <c r="A22" s="23"/>
      <c r="B22" s="10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/>
      <c r="O22" s="2"/>
      <c r="Q22" s="2">
        <f>SUM(OSRRefD11_11x)+IFERROR(SUM(OSRRefE11_11x),0)</f>
        <v>4210.59</v>
      </c>
    </row>
    <row r="23" spans="1:17" s="9" customFormat="1" hidden="1" outlineLevel="1" x14ac:dyDescent="0.25">
      <c r="A23" s="23"/>
      <c r="B23" s="10" t="str">
        <f>CONCATENATE("          ","4032", " - ","TAXABLE SALES-JUICE")</f>
        <v xml:space="preserve">          4032 - TAXABLE SALES-JUICE</v>
      </c>
      <c r="C23" s="22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M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3"/>
      <c r="B24" s="10" t="str">
        <f>CONCATENATE("          ","4034", " - ","TAXABLE SALES-SODA")</f>
        <v xml:space="preserve">          4034 - TAXABLE SALES-SODA</v>
      </c>
      <c r="C24" s="22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3"/>
      <c r="B25" s="10" t="str">
        <f>CONCATENATE("          ","4040", " - ","TAXABLE SALES-LOGO CLOTHING")</f>
        <v xml:space="preserve">          4040 - TAXABLE SALES-LOGO CLOTHING</v>
      </c>
      <c r="C25" s="22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/>
      <c r="O25" s="2"/>
      <c r="Q25" s="2">
        <f>SUM(OSRRefD11_14x)+IFERROR(SUM(OSRRefE11_14x),0)</f>
        <v>913180.72999999986</v>
      </c>
    </row>
    <row r="26" spans="1:17" s="9" customFormat="1" hidden="1" outlineLevel="1" x14ac:dyDescent="0.25">
      <c r="A26" s="23"/>
      <c r="B26" s="10" t="str">
        <f>CONCATENATE("          ","4041", " - ","TAXABLE SALES-LOGO GIFTS")</f>
        <v xml:space="preserve">          4041 - TAXABLE SALES-LOGO GIFTS</v>
      </c>
      <c r="C26" s="22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/>
      <c r="O26" s="2"/>
      <c r="Q26" s="2">
        <f>SUM(OSRRefD11_15x)+IFERROR(SUM(OSRRefE11_15x),0)</f>
        <v>440456.98000000004</v>
      </c>
    </row>
    <row r="27" spans="1:17" s="9" customFormat="1" hidden="1" outlineLevel="1" x14ac:dyDescent="0.25">
      <c r="A27" s="23"/>
      <c r="B27" s="10" t="str">
        <f>CONCATENATE("          ","4042", " - ","TAXABLE SALES-EVERYDAY GIFTS")</f>
        <v xml:space="preserve">          4042 - TAXABLE SALES-EVERYDAY GIFTS</v>
      </c>
      <c r="C27" s="22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/>
      <c r="O27" s="2"/>
      <c r="Q27" s="2">
        <f>SUM(OSRRefD11_16x)+IFERROR(SUM(OSRRefE11_16x),0)</f>
        <v>100678.51999999999</v>
      </c>
    </row>
    <row r="28" spans="1:17" s="9" customFormat="1" hidden="1" outlineLevel="1" x14ac:dyDescent="0.25">
      <c r="A28" s="23"/>
      <c r="B28" s="10" t="str">
        <f>CONCATENATE("          ","4043", " - ","TAXABLE SALES-CARDS")</f>
        <v xml:space="preserve">          4043 - TAXABLE SALES-CARDS</v>
      </c>
      <c r="C28" s="22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/>
      <c r="O28" s="2"/>
      <c r="Q28" s="2">
        <f>SUM(OSRRefD11_17x)+IFERROR(SUM(OSRRefE11_17x),0)</f>
        <v>136859.38</v>
      </c>
    </row>
    <row r="29" spans="1:17" s="9" customFormat="1" hidden="1" outlineLevel="1" x14ac:dyDescent="0.25">
      <c r="A29" s="23"/>
      <c r="B29" s="10" t="str">
        <f>CONCATENATE("          ","4044", " - ","TAXABLE SALES-ACCESSORIES")</f>
        <v xml:space="preserve">          4044 - TAXABLE SALES-ACCESSORIES</v>
      </c>
      <c r="C29" s="22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/>
      <c r="O29" s="2"/>
      <c r="Q29" s="2">
        <f>SUM(OSRRefD11_18x)+IFERROR(SUM(OSRRefE11_18x),0)</f>
        <v>36092.229999999996</v>
      </c>
    </row>
    <row r="30" spans="1:17" s="9" customFormat="1" hidden="1" outlineLevel="1" x14ac:dyDescent="0.25">
      <c r="A30" s="23"/>
      <c r="B30" s="10" t="str">
        <f>CONCATENATE("          ","4045", " - ","TAXABLE SALES-SPECIAL ORDERS")</f>
        <v xml:space="preserve">          4045 - TAXABLE SALES-SPECIAL ORDERS</v>
      </c>
      <c r="C30" s="22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/>
      <c r="O30" s="2"/>
      <c r="Q30" s="2">
        <f>SUM(OSRRefD11_19x)+IFERROR(SUM(OSRRefE11_19x),0)</f>
        <v>207242.34</v>
      </c>
    </row>
    <row r="31" spans="1:17" s="9" customFormat="1" hidden="1" outlineLevel="1" x14ac:dyDescent="0.25">
      <c r="A31" s="23"/>
      <c r="B31" s="10" t="str">
        <f>CONCATENATE("          ","4051", " - ","TAXABLE SALES-FOOD")</f>
        <v xml:space="preserve">          4051 - TAXABLE SALES-FOOD</v>
      </c>
      <c r="C31" s="22"/>
      <c r="D31" s="2">
        <f t="shared" ref="D31:D32" si="6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 t="shared" ref="J31:K31" si="7">0</f>
        <v>0</v>
      </c>
      <c r="K31" s="2">
        <f t="shared" si="7"/>
        <v>0</v>
      </c>
      <c r="L31" s="2">
        <f>--2604.58</f>
        <v>2604.58</v>
      </c>
      <c r="M31" s="2">
        <f>--6552.2</f>
        <v>6552.2</v>
      </c>
      <c r="N31" s="2"/>
      <c r="O31" s="2"/>
      <c r="Q31" s="2">
        <f>SUM(OSRRefD11_20x)+IFERROR(SUM(OSRRefE11_20x),0)</f>
        <v>32121.26</v>
      </c>
    </row>
    <row r="32" spans="1:17" s="9" customFormat="1" hidden="1" outlineLevel="1" x14ac:dyDescent="0.25">
      <c r="A32" s="23"/>
      <c r="B32" s="10" t="str">
        <f>CONCATENATE("          ","4052", " - ","TAXABLE SALES-FOOD")</f>
        <v xml:space="preserve">          4052 - TAXABLE SALES-FOOD</v>
      </c>
      <c r="C32" s="22"/>
      <c r="D32" s="2">
        <f t="shared" si="6"/>
        <v>0</v>
      </c>
      <c r="E32" s="2">
        <f t="shared" ref="E32:F32" si="8">0</f>
        <v>0</v>
      </c>
      <c r="F32" s="2">
        <f t="shared" si="8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>
        <f>--49980.95</f>
        <v>49980.95</v>
      </c>
      <c r="L32" s="2">
        <f>--51782.31</f>
        <v>51782.31</v>
      </c>
      <c r="M32" s="2">
        <f>--48734.68</f>
        <v>48734.68</v>
      </c>
      <c r="N32" s="2"/>
      <c r="O32" s="2"/>
      <c r="Q32" s="2">
        <f>SUM(OSRRefD11_21x)+IFERROR(SUM(OSRRefE11_21x),0)</f>
        <v>380674.79000000004</v>
      </c>
    </row>
    <row r="33" spans="1:17" s="9" customFormat="1" hidden="1" outlineLevel="1" x14ac:dyDescent="0.25">
      <c r="A33" s="23"/>
      <c r="B33" s="10" t="str">
        <f>CONCATENATE("          ","4053", " - ","TAXABLE SALES-FOOD")</f>
        <v xml:space="preserve">          4053 - TAXABLE SALES-FOOD</v>
      </c>
      <c r="C33" s="22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9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>
        <f>--180.69</f>
        <v>180.69</v>
      </c>
      <c r="L33" s="2">
        <f>--163.51</f>
        <v>163.51</v>
      </c>
      <c r="M33" s="2">
        <f>--161.18</f>
        <v>161.18</v>
      </c>
      <c r="N33" s="2"/>
      <c r="O33" s="2"/>
      <c r="Q33" s="2">
        <f>SUM(OSRRefD11_22x)+IFERROR(SUM(OSRRefE11_22x),0)</f>
        <v>1084.9000000000001</v>
      </c>
    </row>
    <row r="34" spans="1:17" s="9" customFormat="1" hidden="1" outlineLevel="1" x14ac:dyDescent="0.25">
      <c r="A34" s="23"/>
      <c r="B34" s="10" t="str">
        <f>CONCATENATE("          ","4058", " - ","TAXABLE SALES-FOOD")</f>
        <v xml:space="preserve">          4058 - TAXABLE SALES-FOOD</v>
      </c>
      <c r="C34" s="22"/>
      <c r="D34" s="2">
        <f>--974.91</f>
        <v>974.91</v>
      </c>
      <c r="E34" s="2">
        <f t="shared" ref="E34:F34" si="10">0</f>
        <v>0</v>
      </c>
      <c r="F34" s="2">
        <f t="shared" si="10"/>
        <v>0</v>
      </c>
      <c r="G34" s="2">
        <f t="shared" si="9"/>
        <v>0</v>
      </c>
      <c r="H34" s="2">
        <f t="shared" ref="H34:M34" si="11">0</f>
        <v>0</v>
      </c>
      <c r="I34" s="2">
        <f t="shared" si="11"/>
        <v>0</v>
      </c>
      <c r="J34" s="2">
        <f t="shared" si="11"/>
        <v>0</v>
      </c>
      <c r="K34" s="2">
        <f t="shared" si="11"/>
        <v>0</v>
      </c>
      <c r="L34" s="2">
        <f t="shared" si="11"/>
        <v>0</v>
      </c>
      <c r="M34" s="2">
        <f t="shared" si="11"/>
        <v>0</v>
      </c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25">
      <c r="A35" s="23"/>
      <c r="B35" s="10" t="str">
        <f>CONCATENATE("          ","4081", " - ","TAXABLE SALES-ELECTRONICS")</f>
        <v xml:space="preserve">          4081 - TAXABLE SALES-ELECTRONICS</v>
      </c>
      <c r="C35" s="22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>
        <f>--64.79</f>
        <v>64.790000000000006</v>
      </c>
      <c r="L35" s="2">
        <f>--1204.4</f>
        <v>1204.4000000000001</v>
      </c>
      <c r="M35" s="2">
        <f>--1628.82</f>
        <v>1628.82</v>
      </c>
      <c r="N35" s="2"/>
      <c r="O35" s="2"/>
      <c r="Q35" s="2">
        <f>SUM(OSRRefD11_24x)+IFERROR(SUM(OSRRefE11_24x),0)</f>
        <v>62168.020000000004</v>
      </c>
    </row>
    <row r="36" spans="1:17" s="9" customFormat="1" hidden="1" outlineLevel="1" x14ac:dyDescent="0.25">
      <c r="A36" s="23"/>
      <c r="B36" s="10" t="str">
        <f>CONCATENATE("          ","4082", " - ","TAXABLE SALES-COMPUTER HARDWAR")</f>
        <v xml:space="preserve">          4082 - TAXABLE SALES-COMPUTER HARDWAR</v>
      </c>
      <c r="C36" s="22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>
        <f>--165815.3</f>
        <v>165815.29999999999</v>
      </c>
      <c r="L36" s="2">
        <f>--407027.89</f>
        <v>407027.89</v>
      </c>
      <c r="M36" s="2">
        <f>--354181.27</f>
        <v>354181.27</v>
      </c>
      <c r="N36" s="2"/>
      <c r="O36" s="2"/>
      <c r="Q36" s="2">
        <f>SUM(OSRRefD11_25x)+IFERROR(SUM(OSRRefE11_25x),0)</f>
        <v>2012047.63</v>
      </c>
    </row>
    <row r="37" spans="1:17" s="9" customFormat="1" hidden="1" outlineLevel="1" x14ac:dyDescent="0.25">
      <c r="A37" s="23"/>
      <c r="B37" s="10" t="str">
        <f>CONCATENATE("          ","4083", " - ","TAXABLE SALES-COMPUTER EQUIPME")</f>
        <v xml:space="preserve">          4083 - TAXABLE SALES-COMPUTER EQUIPME</v>
      </c>
      <c r="C37" s="22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>
        <f>--3521.24</f>
        <v>3521.24</v>
      </c>
      <c r="L37" s="2">
        <f>--22860.44</f>
        <v>22860.44</v>
      </c>
      <c r="M37" s="2">
        <f>--7273.67</f>
        <v>7273.67</v>
      </c>
      <c r="N37" s="2"/>
      <c r="O37" s="2"/>
      <c r="Q37" s="2">
        <f>SUM(OSRRefD11_26x)+IFERROR(SUM(OSRRefE11_26x),0)</f>
        <v>126942.93000000001</v>
      </c>
    </row>
    <row r="38" spans="1:17" s="9" customFormat="1" hidden="1" outlineLevel="1" x14ac:dyDescent="0.25">
      <c r="A38" s="23"/>
      <c r="B38" s="10" t="str">
        <f>CONCATENATE("          ","4085", " - ","TAXABLE SALES-SOFTWARE")</f>
        <v xml:space="preserve">          4085 - TAXABLE SALES-SOFTWARE</v>
      </c>
      <c r="C38" s="22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>
        <f>0</f>
        <v>0</v>
      </c>
      <c r="L38" s="2">
        <f>--219.98</f>
        <v>219.98</v>
      </c>
      <c r="M38" s="2">
        <f>--1771.88</f>
        <v>1771.88</v>
      </c>
      <c r="N38" s="2"/>
      <c r="O38" s="2"/>
      <c r="Q38" s="2">
        <f>SUM(OSRRefD11_27x)+IFERROR(SUM(OSRRefE11_27x),0)</f>
        <v>4870.7900000000009</v>
      </c>
    </row>
    <row r="39" spans="1:17" s="9" customFormat="1" hidden="1" outlineLevel="1" x14ac:dyDescent="0.25">
      <c r="A39" s="23"/>
      <c r="B39" s="10" t="str">
        <f>CONCATENATE("          ","4086", " - ","TAXABLE SALES-COMPUTER SUPPLIE")</f>
        <v xml:space="preserve">          4086 - TAXABLE SALES-COMPUTER SUPPLIE</v>
      </c>
      <c r="C39" s="22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>
        <f>--1077.33</f>
        <v>1077.33</v>
      </c>
      <c r="L39" s="2">
        <f>--503.73</f>
        <v>503.73</v>
      </c>
      <c r="M39" s="2">
        <f>--5818.73</f>
        <v>5818.73</v>
      </c>
      <c r="N39" s="2"/>
      <c r="O39" s="2"/>
      <c r="Q39" s="2">
        <f>SUM(OSRRefD11_28x)+IFERROR(SUM(OSRRefE11_28x),0)</f>
        <v>65269.630000000005</v>
      </c>
    </row>
    <row r="40" spans="1:17" s="9" customFormat="1" hidden="1" outlineLevel="1" x14ac:dyDescent="0.25">
      <c r="A40" s="23"/>
      <c r="B40" s="10" t="str">
        <f>CONCATENATE("          ","4095", " - ","TAXABLE SALES-CUSTOMER SERVICE")</f>
        <v xml:space="preserve">          4095 - TAXABLE SALES-CUSTOMER SERVICE</v>
      </c>
      <c r="C40" s="22"/>
      <c r="D40" s="2">
        <f t="shared" ref="D40:J40" si="12">0</f>
        <v>0</v>
      </c>
      <c r="E40" s="2">
        <f t="shared" si="12"/>
        <v>0</v>
      </c>
      <c r="F40" s="2">
        <f t="shared" si="12"/>
        <v>0</v>
      </c>
      <c r="G40" s="2">
        <f t="shared" si="12"/>
        <v>0</v>
      </c>
      <c r="H40" s="2">
        <f t="shared" si="12"/>
        <v>0</v>
      </c>
      <c r="I40" s="2">
        <f t="shared" si="12"/>
        <v>0</v>
      </c>
      <c r="J40" s="2">
        <f t="shared" si="12"/>
        <v>0</v>
      </c>
      <c r="K40" s="2">
        <f>--139.85</f>
        <v>139.85</v>
      </c>
      <c r="L40" s="2">
        <f>--775.28</f>
        <v>775.28</v>
      </c>
      <c r="M40" s="2">
        <f>--2119.46</f>
        <v>2119.46</v>
      </c>
      <c r="N40" s="2"/>
      <c r="O40" s="2"/>
      <c r="Q40" s="2">
        <f>SUM(OSRRefD11_29x)+IFERROR(SUM(OSRRefE11_29x),0)</f>
        <v>3034.59</v>
      </c>
    </row>
    <row r="41" spans="1:17" s="9" customFormat="1" hidden="1" outlineLevel="1" x14ac:dyDescent="0.25">
      <c r="A41" s="23"/>
      <c r="B41" s="10" t="str">
        <f>CONCATENATE("          ","4100", " - ","NON-TAXABLE SALES")</f>
        <v xml:space="preserve">          4100 - NON-TAXABLE SALES</v>
      </c>
      <c r="C41" s="22"/>
      <c r="D41" s="2">
        <f>--24009.3</f>
        <v>24009.3</v>
      </c>
      <c r="E41" s="2">
        <f>--217221.03</f>
        <v>217221.03</v>
      </c>
      <c r="F41" s="2">
        <f>--41155.69</f>
        <v>41155.69</v>
      </c>
      <c r="G41" s="2">
        <f>--151698.79</f>
        <v>151698.79</v>
      </c>
      <c r="H41" s="2">
        <f>--54175.61</f>
        <v>54175.61</v>
      </c>
      <c r="I41" s="2">
        <f>--12999.25</f>
        <v>12999.25</v>
      </c>
      <c r="J41" s="2">
        <f>--146952.19</f>
        <v>146952.19</v>
      </c>
      <c r="K41" s="2">
        <f>--28215.7</f>
        <v>28215.7</v>
      </c>
      <c r="L41" s="2">
        <f>--53675.54</f>
        <v>53675.54</v>
      </c>
      <c r="M41" s="2">
        <f>--21288.67</f>
        <v>21288.67</v>
      </c>
      <c r="N41" s="2">
        <v>130945</v>
      </c>
      <c r="O41" s="2">
        <v>77165</v>
      </c>
      <c r="Q41" s="2">
        <f>SUM(OSRRefD11_30x)+IFERROR(SUM(OSRRefE11_30x),0)</f>
        <v>959501.77000000014</v>
      </c>
    </row>
    <row r="42" spans="1:17" s="9" customFormat="1" hidden="1" outlineLevel="1" x14ac:dyDescent="0.25">
      <c r="A42" s="23"/>
      <c r="B42" s="10" t="str">
        <f>CONCATENATE("          ","4101", " - ","NON-TAXABLE SALES-NEW TEXT")</f>
        <v xml:space="preserve">          4101 - NON-TAXABLE SALES-NEW TEXT</v>
      </c>
      <c r="C42" s="22"/>
      <c r="D42" s="2">
        <f>--10341.86</f>
        <v>10341.86</v>
      </c>
      <c r="E42" s="2">
        <f>--41238.82</f>
        <v>41238.82</v>
      </c>
      <c r="F42" s="2">
        <f>--18824.16</f>
        <v>18824.16</v>
      </c>
      <c r="G42" s="2">
        <f>--7260.05</f>
        <v>7260.05</v>
      </c>
      <c r="H42" s="2">
        <f>--1270.83</f>
        <v>1270.83</v>
      </c>
      <c r="I42" s="2">
        <f>--3205.21</f>
        <v>3205.21</v>
      </c>
      <c r="J42" s="2">
        <f>--22084.7</f>
        <v>22084.7</v>
      </c>
      <c r="K42" s="2">
        <f>--6785.91</f>
        <v>6785.91</v>
      </c>
      <c r="L42" s="2">
        <f>--1044.17</f>
        <v>1044.17</v>
      </c>
      <c r="M42" s="2">
        <f>--741.03</f>
        <v>741.03</v>
      </c>
      <c r="N42" s="2"/>
      <c r="O42" s="2"/>
      <c r="Q42" s="2">
        <f>SUM(OSRRefD11_31x)+IFERROR(SUM(OSRRefE11_31x),0)</f>
        <v>112796.74</v>
      </c>
    </row>
    <row r="43" spans="1:17" s="9" customFormat="1" hidden="1" outlineLevel="1" x14ac:dyDescent="0.25">
      <c r="A43" s="23"/>
      <c r="B43" s="10" t="str">
        <f>CONCATENATE("          ","4102", " - ","NON-TAXABLE SALES-USED TEXT")</f>
        <v xml:space="preserve">          4102 - NON-TAXABLE SALES-USED TEXT</v>
      </c>
      <c r="C43" s="22"/>
      <c r="D43" s="2">
        <f>--4190.44</f>
        <v>4190.4399999999996</v>
      </c>
      <c r="E43" s="2">
        <f>--17373.3</f>
        <v>17373.3</v>
      </c>
      <c r="F43" s="2">
        <f>--8807.08</f>
        <v>8807.08</v>
      </c>
      <c r="G43" s="2">
        <f>--2341.65</f>
        <v>2341.65</v>
      </c>
      <c r="H43" s="2">
        <f>--320.72</f>
        <v>320.72000000000003</v>
      </c>
      <c r="I43" s="2">
        <f>--598.12</f>
        <v>598.12</v>
      </c>
      <c r="J43" s="2">
        <f>--9330.01</f>
        <v>9330.01</v>
      </c>
      <c r="K43" s="2">
        <f>--3426.05</f>
        <v>3426.05</v>
      </c>
      <c r="L43" s="2">
        <f>--1572.06</f>
        <v>1572.06</v>
      </c>
      <c r="M43" s="2">
        <f>--743.99</f>
        <v>743.99</v>
      </c>
      <c r="N43" s="2"/>
      <c r="O43" s="2"/>
      <c r="Q43" s="2">
        <f>SUM(OSRRefD11_32x)+IFERROR(SUM(OSRRefE11_32x),0)</f>
        <v>48703.420000000006</v>
      </c>
    </row>
    <row r="44" spans="1:17" s="9" customFormat="1" hidden="1" outlineLevel="1" x14ac:dyDescent="0.25">
      <c r="A44" s="23"/>
      <c r="B44" s="10" t="str">
        <f>CONCATENATE("          ","4103", " - ","NON-TAXABLE SALES-RENTAL TEXT")</f>
        <v xml:space="preserve">          4103 - NON-TAXABLE SALES-RENTAL TEXT</v>
      </c>
      <c r="C44" s="22"/>
      <c r="D44" s="2">
        <f t="shared" ref="D44:E44" si="13">0</f>
        <v>0</v>
      </c>
      <c r="E44" s="2">
        <f t="shared" si="13"/>
        <v>0</v>
      </c>
      <c r="F44" s="2">
        <f>--284.97</f>
        <v>284.97000000000003</v>
      </c>
      <c r="G44" s="2">
        <f t="shared" ref="G44:I44" si="14">0</f>
        <v>0</v>
      </c>
      <c r="H44" s="2">
        <f t="shared" si="14"/>
        <v>0</v>
      </c>
      <c r="I44" s="2">
        <f t="shared" si="14"/>
        <v>0</v>
      </c>
      <c r="J44" s="2">
        <f>--853.98</f>
        <v>853.98</v>
      </c>
      <c r="K44" s="2">
        <f t="shared" ref="K44:M44" si="15">0</f>
        <v>0</v>
      </c>
      <c r="L44" s="2">
        <f t="shared" si="15"/>
        <v>0</v>
      </c>
      <c r="M44" s="2">
        <f t="shared" si="15"/>
        <v>0</v>
      </c>
      <c r="N44" s="2"/>
      <c r="O44" s="2"/>
      <c r="Q44" s="2">
        <f>SUM(OSRRefD11_33x)+IFERROR(SUM(OSRRefE11_33x),0)</f>
        <v>1138.95</v>
      </c>
    </row>
    <row r="45" spans="1:17" s="9" customFormat="1" hidden="1" outlineLevel="1" x14ac:dyDescent="0.25">
      <c r="A45" s="23"/>
      <c r="B45" s="10" t="str">
        <f>CONCATENATE("          ","4104", " - ","NON-TAXABLE SALES-DIGITAL TEXT")</f>
        <v xml:space="preserve">          4104 - NON-TAXABLE SALES-DIGITAL TEXT</v>
      </c>
      <c r="C45" s="22"/>
      <c r="D45" s="2">
        <f>--7485.52</f>
        <v>7485.52</v>
      </c>
      <c r="E45" s="2">
        <f>--205404.66</f>
        <v>205404.66</v>
      </c>
      <c r="F45" s="2">
        <f>--73817.67</f>
        <v>73817.67</v>
      </c>
      <c r="G45" s="2">
        <f>--6767.67</f>
        <v>6767.67</v>
      </c>
      <c r="H45" s="2">
        <f>--1414.19</f>
        <v>1414.19</v>
      </c>
      <c r="I45" s="2">
        <f>--1301.3</f>
        <v>1301.3</v>
      </c>
      <c r="J45" s="2">
        <f>--161977.12</f>
        <v>161977.12</v>
      </c>
      <c r="K45" s="2">
        <f>--17705.92</f>
        <v>17705.919999999998</v>
      </c>
      <c r="L45" s="2">
        <f>--1097.13</f>
        <v>1097.1300000000001</v>
      </c>
      <c r="M45" s="2">
        <f>--3431.99</f>
        <v>3431.99</v>
      </c>
      <c r="N45" s="2"/>
      <c r="O45" s="2"/>
      <c r="Q45" s="2">
        <f>SUM(OSRRefD11_34x)+IFERROR(SUM(OSRRefE11_34x),0)</f>
        <v>480403.16999999993</v>
      </c>
    </row>
    <row r="46" spans="1:17" s="9" customFormat="1" hidden="1" outlineLevel="1" x14ac:dyDescent="0.25">
      <c r="A46" s="23"/>
      <c r="B46" s="10" t="str">
        <f>CONCATENATE("          ","4113", " - ","NON-TAXABLE SALES-TRADE BOOKS")</f>
        <v xml:space="preserve">          4113 - NON-TAXABLE SALES-TRADE BOOKS</v>
      </c>
      <c r="C46" s="22"/>
      <c r="D46" s="2">
        <f t="shared" ref="D46:F46" si="16">0</f>
        <v>0</v>
      </c>
      <c r="E46" s="2">
        <f t="shared" si="16"/>
        <v>0</v>
      </c>
      <c r="F46" s="2">
        <f t="shared" si="16"/>
        <v>0</v>
      </c>
      <c r="G46" s="2">
        <f>--1655.95</f>
        <v>1655.95</v>
      </c>
      <c r="H46" s="2">
        <f>--630</f>
        <v>630</v>
      </c>
      <c r="I46" s="2">
        <f>--41.55</f>
        <v>41.55</v>
      </c>
      <c r="J46" s="2">
        <f>--4661.75</f>
        <v>4661.75</v>
      </c>
      <c r="K46" s="2">
        <f>--3150</f>
        <v>3150</v>
      </c>
      <c r="L46" s="2">
        <f>--1250</f>
        <v>1250</v>
      </c>
      <c r="M46" s="2">
        <f>--738</f>
        <v>738</v>
      </c>
      <c r="N46" s="2"/>
      <c r="O46" s="2"/>
      <c r="Q46" s="2">
        <f>SUM(OSRRefD11_35x)+IFERROR(SUM(OSRRefE11_35x),0)</f>
        <v>12127.25</v>
      </c>
    </row>
    <row r="47" spans="1:17" s="9" customFormat="1" hidden="1" outlineLevel="1" x14ac:dyDescent="0.25">
      <c r="A47" s="23"/>
      <c r="B47" s="10" t="str">
        <f>CONCATENATE("          ","4118", " - ","NON-TAXABLE SALES-STUDY GUIDES")</f>
        <v xml:space="preserve">          4118 - NON-TAXABLE SALES-STUDY GUIDES</v>
      </c>
      <c r="C47" s="22"/>
      <c r="D47" s="2">
        <f>--53.96</f>
        <v>53.96</v>
      </c>
      <c r="E47" s="2">
        <f>--47.87</f>
        <v>47.87</v>
      </c>
      <c r="F47" s="2">
        <f>--6.5</f>
        <v>6.5</v>
      </c>
      <c r="G47" s="2">
        <f>--97.3</f>
        <v>97.3</v>
      </c>
      <c r="H47" s="2">
        <f>--27.8</f>
        <v>27.8</v>
      </c>
      <c r="I47" s="2">
        <f t="shared" ref="I47:I48" si="17">0</f>
        <v>0</v>
      </c>
      <c r="J47" s="2">
        <f>--538.3</f>
        <v>538.29999999999995</v>
      </c>
      <c r="K47" s="2">
        <f t="shared" ref="K47:M48" si="18">0</f>
        <v>0</v>
      </c>
      <c r="L47" s="2">
        <f t="shared" si="18"/>
        <v>0</v>
      </c>
      <c r="M47" s="2">
        <f t="shared" si="18"/>
        <v>0</v>
      </c>
      <c r="N47" s="2"/>
      <c r="O47" s="2"/>
      <c r="Q47" s="2">
        <f>SUM(OSRRefD11_36x)+IFERROR(SUM(OSRRefE11_36x),0)</f>
        <v>771.73</v>
      </c>
    </row>
    <row r="48" spans="1:17" s="9" customFormat="1" hidden="1" outlineLevel="1" x14ac:dyDescent="0.25">
      <c r="A48" s="23"/>
      <c r="B48" s="10" t="str">
        <f>CONCATENATE("          ","4126", " - ","NON-TAXABLE SALES-WRITING INST")</f>
        <v xml:space="preserve">          4126 - NON-TAXABLE SALES-WRITING INST</v>
      </c>
      <c r="C48" s="22"/>
      <c r="D48" s="2">
        <f>--52.68</f>
        <v>52.68</v>
      </c>
      <c r="E48" s="2">
        <f t="shared" ref="E48:H48" si="19">0</f>
        <v>0</v>
      </c>
      <c r="F48" s="2">
        <f t="shared" si="19"/>
        <v>0</v>
      </c>
      <c r="G48" s="2">
        <f t="shared" si="19"/>
        <v>0</v>
      </c>
      <c r="H48" s="2">
        <f t="shared" si="19"/>
        <v>0</v>
      </c>
      <c r="I48" s="2">
        <f t="shared" si="17"/>
        <v>0</v>
      </c>
      <c r="J48" s="2">
        <f>0</f>
        <v>0</v>
      </c>
      <c r="K48" s="2">
        <f t="shared" si="18"/>
        <v>0</v>
      </c>
      <c r="L48" s="2">
        <f t="shared" si="18"/>
        <v>0</v>
      </c>
      <c r="M48" s="2">
        <f t="shared" si="18"/>
        <v>0</v>
      </c>
      <c r="N48" s="2"/>
      <c r="O48" s="2"/>
      <c r="Q48" s="2">
        <f>SUM(OSRRefD11_37x)+IFERROR(SUM(OSRRefE11_37x),0)</f>
        <v>52.68</v>
      </c>
    </row>
    <row r="49" spans="1:17" s="9" customFormat="1" hidden="1" outlineLevel="1" x14ac:dyDescent="0.25">
      <c r="A49" s="23"/>
      <c r="B49" s="10" t="str">
        <f>CONCATENATE("          ","4127", " - ","NON-TAXABLE SALES-SCHOOL SUPPL")</f>
        <v xml:space="preserve">          4127 - NON-TAXABLE SALES-SCHOOL SUPPL</v>
      </c>
      <c r="C49" s="22"/>
      <c r="D49" s="2">
        <f>--72.25</f>
        <v>72.25</v>
      </c>
      <c r="E49" s="2">
        <f>--1788.16</f>
        <v>1788.16</v>
      </c>
      <c r="F49" s="2">
        <f>--810.33</f>
        <v>810.33</v>
      </c>
      <c r="G49" s="2">
        <f>--160.95</f>
        <v>160.94999999999999</v>
      </c>
      <c r="H49" s="2">
        <f>--114.89</f>
        <v>114.89</v>
      </c>
      <c r="I49" s="2">
        <f>--259.53</f>
        <v>259.52999999999997</v>
      </c>
      <c r="J49" s="2">
        <f>--2539.06</f>
        <v>2539.06</v>
      </c>
      <c r="K49" s="2">
        <f>--472.19</f>
        <v>472.19</v>
      </c>
      <c r="L49" s="2">
        <f>--389.95</f>
        <v>389.95</v>
      </c>
      <c r="M49" s="2">
        <f>--493.37</f>
        <v>493.37</v>
      </c>
      <c r="N49" s="2"/>
      <c r="O49" s="2"/>
      <c r="Q49" s="2">
        <f>SUM(OSRRefD11_38x)+IFERROR(SUM(OSRRefE11_38x),0)</f>
        <v>7100.6799999999994</v>
      </c>
    </row>
    <row r="50" spans="1:17" s="9" customFormat="1" hidden="1" outlineLevel="1" x14ac:dyDescent="0.25">
      <c r="A50" s="23"/>
      <c r="B50" s="10" t="str">
        <f>CONCATENATE("          ","4128", " - ","NON-TAXABLE SALES-ART/TECH")</f>
        <v xml:space="preserve">          4128 - NON-TAXABLE SALES-ART/TECH</v>
      </c>
      <c r="C50" s="22"/>
      <c r="D50" s="2">
        <f t="shared" ref="D50:G50" si="20">0</f>
        <v>0</v>
      </c>
      <c r="E50" s="2">
        <f t="shared" si="20"/>
        <v>0</v>
      </c>
      <c r="F50" s="2">
        <f t="shared" si="20"/>
        <v>0</v>
      </c>
      <c r="G50" s="2">
        <f t="shared" si="20"/>
        <v>0</v>
      </c>
      <c r="H50" s="2">
        <f>--24.78</f>
        <v>24.78</v>
      </c>
      <c r="I50" s="2">
        <f>0</f>
        <v>0</v>
      </c>
      <c r="J50" s="2">
        <f>--4.72</f>
        <v>4.72</v>
      </c>
      <c r="K50" s="2">
        <f>--9.08</f>
        <v>9.08</v>
      </c>
      <c r="L50" s="2">
        <f>0</f>
        <v>0</v>
      </c>
      <c r="M50" s="2">
        <f>--31.37</f>
        <v>31.37</v>
      </c>
      <c r="N50" s="2"/>
      <c r="O50" s="2"/>
      <c r="Q50" s="2">
        <f>SUM(OSRRefD11_39x)+IFERROR(SUM(OSRRefE11_39x),0)</f>
        <v>69.95</v>
      </c>
    </row>
    <row r="51" spans="1:17" s="9" customFormat="1" hidden="1" outlineLevel="1" x14ac:dyDescent="0.25">
      <c r="A51" s="23"/>
      <c r="B51" s="10" t="str">
        <f>CONCATENATE("          ","4131", " - ","NON-TAXABLE SALES-FOOD")</f>
        <v xml:space="preserve">          4131 - NON-TAXABLE SALES-FOOD</v>
      </c>
      <c r="C51" s="22"/>
      <c r="D51" s="2">
        <f>--259.43</f>
        <v>259.43</v>
      </c>
      <c r="E51" s="2">
        <f>--1575.79</f>
        <v>1575.79</v>
      </c>
      <c r="F51" s="2">
        <f>--2168.74</f>
        <v>2168.7399999999998</v>
      </c>
      <c r="G51" s="2">
        <f>--1521.48</f>
        <v>1521.48</v>
      </c>
      <c r="H51" s="2">
        <f>--983.89</f>
        <v>983.89</v>
      </c>
      <c r="I51" s="2">
        <f>--1032.82</f>
        <v>1032.82</v>
      </c>
      <c r="J51" s="2">
        <f>--1098.12</f>
        <v>1098.1199999999999</v>
      </c>
      <c r="K51" s="2">
        <f>--934.88</f>
        <v>934.88</v>
      </c>
      <c r="L51" s="2">
        <f>--829.28</f>
        <v>829.28</v>
      </c>
      <c r="M51" s="2">
        <f>--975.93</f>
        <v>975.93</v>
      </c>
      <c r="N51" s="2"/>
      <c r="O51" s="2"/>
      <c r="Q51" s="2">
        <f>SUM(OSRRefD11_40x)+IFERROR(SUM(OSRRefE11_40x),0)</f>
        <v>11380.36</v>
      </c>
    </row>
    <row r="52" spans="1:17" s="9" customFormat="1" hidden="1" outlineLevel="1" x14ac:dyDescent="0.25">
      <c r="A52" s="23"/>
      <c r="B52" s="10" t="str">
        <f>CONCATENATE("          ","4132", " - ","NON-TAXABLE SALES-JUICE")</f>
        <v xml:space="preserve">          4132 - NON-TAXABLE SALES-JUICE</v>
      </c>
      <c r="C52" s="22"/>
      <c r="D52" s="2">
        <f>--22.49</f>
        <v>22.49</v>
      </c>
      <c r="E52" s="2">
        <f>--625.8</f>
        <v>625.79999999999995</v>
      </c>
      <c r="F52" s="2">
        <f>--1406.08</f>
        <v>1406.08</v>
      </c>
      <c r="G52" s="2">
        <f t="shared" ref="G52:M55" si="21">0</f>
        <v>0</v>
      </c>
      <c r="H52" s="2">
        <f t="shared" si="21"/>
        <v>0</v>
      </c>
      <c r="I52" s="2">
        <f t="shared" si="21"/>
        <v>0</v>
      </c>
      <c r="J52" s="2">
        <f t="shared" si="21"/>
        <v>0</v>
      </c>
      <c r="K52" s="2">
        <f t="shared" si="21"/>
        <v>0</v>
      </c>
      <c r="L52" s="2">
        <f t="shared" si="21"/>
        <v>0</v>
      </c>
      <c r="M52" s="2">
        <f t="shared" si="21"/>
        <v>0</v>
      </c>
      <c r="N52" s="2"/>
      <c r="O52" s="2"/>
      <c r="Q52" s="2">
        <f>SUM(OSRRefD11_41x)+IFERROR(SUM(OSRRefE11_41x),0)</f>
        <v>2054.37</v>
      </c>
    </row>
    <row r="53" spans="1:17" s="9" customFormat="1" hidden="1" outlineLevel="1" x14ac:dyDescent="0.25">
      <c r="A53" s="23"/>
      <c r="B53" s="10" t="str">
        <f>CONCATENATE("          ","4133", " - ","NON-TAXABLE SALES-CANDY")</f>
        <v xml:space="preserve">          4133 - NON-TAXABLE SALES-CANDY</v>
      </c>
      <c r="C53" s="22"/>
      <c r="D53" s="2">
        <f>--68.28</f>
        <v>68.28</v>
      </c>
      <c r="E53" s="2">
        <f>--12.43</f>
        <v>12.43</v>
      </c>
      <c r="F53" s="2">
        <f t="shared" ref="F53:F55" si="22">0</f>
        <v>0</v>
      </c>
      <c r="G53" s="2">
        <f t="shared" si="21"/>
        <v>0</v>
      </c>
      <c r="H53" s="2">
        <f t="shared" si="21"/>
        <v>0</v>
      </c>
      <c r="I53" s="2">
        <f t="shared" si="21"/>
        <v>0</v>
      </c>
      <c r="J53" s="2">
        <f t="shared" si="21"/>
        <v>0</v>
      </c>
      <c r="K53" s="2">
        <f t="shared" si="21"/>
        <v>0</v>
      </c>
      <c r="L53" s="2">
        <f t="shared" si="21"/>
        <v>0</v>
      </c>
      <c r="M53" s="2">
        <f t="shared" si="21"/>
        <v>0</v>
      </c>
      <c r="N53" s="2"/>
      <c r="O53" s="2"/>
      <c r="Q53" s="2">
        <f>SUM(OSRRefD11_42x)+IFERROR(SUM(OSRRefE11_42x),0)</f>
        <v>80.710000000000008</v>
      </c>
    </row>
    <row r="54" spans="1:17" s="9" customFormat="1" hidden="1" outlineLevel="1" x14ac:dyDescent="0.25">
      <c r="A54" s="23"/>
      <c r="B54" s="10" t="str">
        <f>CONCATENATE("          ","4134", " - ","NON-TAXABLE SALES-SODA")</f>
        <v xml:space="preserve">          4134 - NON-TAXABLE SALES-SODA</v>
      </c>
      <c r="C54" s="22"/>
      <c r="D54" s="2">
        <f>--45.53</f>
        <v>45.53</v>
      </c>
      <c r="E54" s="2">
        <f t="shared" ref="E54:E55" si="23">0</f>
        <v>0</v>
      </c>
      <c r="F54" s="2">
        <f t="shared" si="22"/>
        <v>0</v>
      </c>
      <c r="G54" s="2">
        <f t="shared" si="21"/>
        <v>0</v>
      </c>
      <c r="H54" s="2">
        <f t="shared" si="21"/>
        <v>0</v>
      </c>
      <c r="I54" s="2">
        <f t="shared" si="21"/>
        <v>0</v>
      </c>
      <c r="J54" s="2">
        <f t="shared" si="21"/>
        <v>0</v>
      </c>
      <c r="K54" s="2">
        <f t="shared" si="21"/>
        <v>0</v>
      </c>
      <c r="L54" s="2">
        <f t="shared" si="21"/>
        <v>0</v>
      </c>
      <c r="M54" s="2">
        <f t="shared" si="21"/>
        <v>0</v>
      </c>
      <c r="N54" s="2"/>
      <c r="O54" s="2"/>
      <c r="Q54" s="2">
        <f>SUM(OSRRefD11_43x)+IFERROR(SUM(OSRRefE11_43x),0)</f>
        <v>45.53</v>
      </c>
    </row>
    <row r="55" spans="1:17" s="9" customFormat="1" hidden="1" outlineLevel="1" x14ac:dyDescent="0.25">
      <c r="A55" s="23"/>
      <c r="B55" s="10" t="str">
        <f>CONCATENATE("          ","4137", " - ","NON-TAXABLE SALES-WATER")</f>
        <v xml:space="preserve">          4137 - NON-TAXABLE SALES-WATER</v>
      </c>
      <c r="C55" s="22"/>
      <c r="D55" s="2">
        <f>--68.25</f>
        <v>68.25</v>
      </c>
      <c r="E55" s="2">
        <f t="shared" si="23"/>
        <v>0</v>
      </c>
      <c r="F55" s="2">
        <f t="shared" si="22"/>
        <v>0</v>
      </c>
      <c r="G55" s="2">
        <f t="shared" si="21"/>
        <v>0</v>
      </c>
      <c r="H55" s="2">
        <f t="shared" si="21"/>
        <v>0</v>
      </c>
      <c r="I55" s="2">
        <f t="shared" si="21"/>
        <v>0</v>
      </c>
      <c r="J55" s="2">
        <f t="shared" si="21"/>
        <v>0</v>
      </c>
      <c r="K55" s="2">
        <f t="shared" si="21"/>
        <v>0</v>
      </c>
      <c r="L55" s="2">
        <f t="shared" si="21"/>
        <v>0</v>
      </c>
      <c r="M55" s="2">
        <f t="shared" si="21"/>
        <v>0</v>
      </c>
      <c r="N55" s="2"/>
      <c r="O55" s="2"/>
      <c r="Q55" s="2">
        <f>SUM(OSRRefD11_44x)+IFERROR(SUM(OSRRefE11_44x),0)</f>
        <v>68.25</v>
      </c>
    </row>
    <row r="56" spans="1:17" s="9" customFormat="1" hidden="1" outlineLevel="1" x14ac:dyDescent="0.25">
      <c r="A56" s="23"/>
      <c r="B56" s="10" t="str">
        <f>CONCATENATE("          ","4140", " - ","NON-TAXABLE SALES-LOGO CLOTHIN")</f>
        <v xml:space="preserve">          4140 - NON-TAXABLE SALES-LOGO CLOTHIN</v>
      </c>
      <c r="C56" s="22"/>
      <c r="D56" s="2">
        <f>--6846.24</f>
        <v>6846.24</v>
      </c>
      <c r="E56" s="2">
        <f>--7266.5</f>
        <v>7266.5</v>
      </c>
      <c r="F56" s="2">
        <f>--3339.7</f>
        <v>3339.7</v>
      </c>
      <c r="G56" s="2">
        <f>--13163.04</f>
        <v>13163.04</v>
      </c>
      <c r="H56" s="2">
        <f>--19704.79</f>
        <v>19704.79</v>
      </c>
      <c r="I56" s="2">
        <f>--53650.7</f>
        <v>53650.7</v>
      </c>
      <c r="J56" s="2">
        <f>--9206.45</f>
        <v>9206.4500000000007</v>
      </c>
      <c r="K56" s="2">
        <f>--1947.86</f>
        <v>1947.86</v>
      </c>
      <c r="L56" s="2">
        <f>--16626.41</f>
        <v>16626.41</v>
      </c>
      <c r="M56" s="2">
        <f>--23040.7</f>
        <v>23040.7</v>
      </c>
      <c r="N56" s="2"/>
      <c r="O56" s="2"/>
      <c r="Q56" s="2">
        <f>SUM(OSRRefD11_45x)+IFERROR(SUM(OSRRefE11_45x),0)</f>
        <v>154792.39000000001</v>
      </c>
    </row>
    <row r="57" spans="1:17" s="9" customFormat="1" hidden="1" outlineLevel="1" x14ac:dyDescent="0.25">
      <c r="A57" s="23"/>
      <c r="B57" s="10" t="str">
        <f>CONCATENATE("          ","4141", " - ","NON-TAXABLE SALES-LOGO GIFTS")</f>
        <v xml:space="preserve">          4141 - NON-TAXABLE SALES-LOGO GIFTS</v>
      </c>
      <c r="C57" s="22"/>
      <c r="D57" s="2">
        <f>--1200.19</f>
        <v>1200.19</v>
      </c>
      <c r="E57" s="2">
        <f>--1189.06</f>
        <v>1189.06</v>
      </c>
      <c r="F57" s="2">
        <f>--555.74</f>
        <v>555.74</v>
      </c>
      <c r="G57" s="2">
        <f>--437.71</f>
        <v>437.71</v>
      </c>
      <c r="H57" s="2">
        <f>--806.32</f>
        <v>806.32</v>
      </c>
      <c r="I57" s="2">
        <f>--1780.23</f>
        <v>1780.23</v>
      </c>
      <c r="J57" s="2">
        <f>--1872.52</f>
        <v>1872.52</v>
      </c>
      <c r="K57" s="2">
        <f>--671.25</f>
        <v>671.25</v>
      </c>
      <c r="L57" s="2">
        <f>--1055.22</f>
        <v>1055.22</v>
      </c>
      <c r="M57" s="2">
        <f>--27228.57</f>
        <v>27228.57</v>
      </c>
      <c r="N57" s="2"/>
      <c r="O57" s="2"/>
      <c r="Q57" s="2">
        <f>SUM(OSRRefD11_46x)+IFERROR(SUM(OSRRefE11_46x),0)</f>
        <v>36796.81</v>
      </c>
    </row>
    <row r="58" spans="1:17" s="9" customFormat="1" hidden="1" outlineLevel="1" x14ac:dyDescent="0.25">
      <c r="A58" s="23"/>
      <c r="B58" s="10" t="str">
        <f>CONCATENATE("          ","4142", " - ","NON-TAXABLE SALES-EVERYDAY GIF")</f>
        <v xml:space="preserve">          4142 - NON-TAXABLE SALES-EVERYDAY GIF</v>
      </c>
      <c r="C58" s="22"/>
      <c r="D58" s="2">
        <f>--640.17</f>
        <v>640.16999999999996</v>
      </c>
      <c r="E58" s="2">
        <f>--339.4</f>
        <v>339.4</v>
      </c>
      <c r="F58" s="2">
        <f>--30.16</f>
        <v>30.16</v>
      </c>
      <c r="G58" s="2">
        <f>--310.68</f>
        <v>310.68</v>
      </c>
      <c r="H58" s="2">
        <f>--887.78</f>
        <v>887.78</v>
      </c>
      <c r="I58" s="2">
        <f>0</f>
        <v>0</v>
      </c>
      <c r="J58" s="2">
        <f>--51.7</f>
        <v>51.7</v>
      </c>
      <c r="K58" s="2">
        <f>--4.58</f>
        <v>4.58</v>
      </c>
      <c r="L58" s="2">
        <f>--16.9</f>
        <v>16.899999999999999</v>
      </c>
      <c r="M58" s="2">
        <f>--306.73</f>
        <v>306.73</v>
      </c>
      <c r="N58" s="2"/>
      <c r="O58" s="2"/>
      <c r="Q58" s="2">
        <f>SUM(OSRRefD11_47x)+IFERROR(SUM(OSRRefE11_47x),0)</f>
        <v>2588.0999999999995</v>
      </c>
    </row>
    <row r="59" spans="1:17" s="9" customFormat="1" hidden="1" outlineLevel="1" x14ac:dyDescent="0.25">
      <c r="A59" s="23"/>
      <c r="B59" s="10" t="str">
        <f>CONCATENATE("          ","4143", " - ","NON-TAXABLE SALES-CARDS")</f>
        <v xml:space="preserve">          4143 - NON-TAXABLE SALES-CARDS</v>
      </c>
      <c r="C59" s="22"/>
      <c r="D59" s="2">
        <f>0</f>
        <v>0</v>
      </c>
      <c r="E59" s="2">
        <f>--19.98</f>
        <v>19.98</v>
      </c>
      <c r="F59" s="2">
        <f>0</f>
        <v>0</v>
      </c>
      <c r="G59" s="2">
        <f t="shared" ref="G59:H59" si="24">--9.99</f>
        <v>9.99</v>
      </c>
      <c r="H59" s="2">
        <f t="shared" si="24"/>
        <v>9.99</v>
      </c>
      <c r="I59" s="2">
        <f>--1697.07</f>
        <v>1697.07</v>
      </c>
      <c r="J59" s="2">
        <f>--232.71</f>
        <v>232.71</v>
      </c>
      <c r="K59" s="2">
        <f>--149.92</f>
        <v>149.91999999999999</v>
      </c>
      <c r="L59" s="2">
        <f>--261.82</f>
        <v>261.82</v>
      </c>
      <c r="M59" s="2">
        <f>--49.97</f>
        <v>49.97</v>
      </c>
      <c r="N59" s="2"/>
      <c r="O59" s="2"/>
      <c r="Q59" s="2">
        <f>SUM(OSRRefD11_48x)+IFERROR(SUM(OSRRefE11_48x),0)</f>
        <v>2431.4499999999998</v>
      </c>
    </row>
    <row r="60" spans="1:17" s="9" customFormat="1" hidden="1" outlineLevel="1" x14ac:dyDescent="0.25">
      <c r="A60" s="23"/>
      <c r="B60" s="10" t="str">
        <f>CONCATENATE("          ","4144", " - ","NON-TAXABLE SALES-ACCESSORIES")</f>
        <v xml:space="preserve">          4144 - NON-TAXABLE SALES-ACCESSORIES</v>
      </c>
      <c r="C60" s="22"/>
      <c r="D60" s="2">
        <f>--47.85</f>
        <v>47.85</v>
      </c>
      <c r="E60" s="2">
        <f>--107.95</f>
        <v>107.95</v>
      </c>
      <c r="F60" s="2">
        <f>--59.95</f>
        <v>59.95</v>
      </c>
      <c r="G60" s="2">
        <f>--154</f>
        <v>154</v>
      </c>
      <c r="H60" s="2">
        <f>--19.95</f>
        <v>19.95</v>
      </c>
      <c r="I60" s="2">
        <f>--99.8</f>
        <v>99.8</v>
      </c>
      <c r="J60" s="2">
        <f>--119.9</f>
        <v>119.9</v>
      </c>
      <c r="K60" s="2">
        <f>--39.95</f>
        <v>39.950000000000003</v>
      </c>
      <c r="L60" s="2">
        <f>--29.9</f>
        <v>29.9</v>
      </c>
      <c r="M60" s="2">
        <f>--29.85</f>
        <v>29.85</v>
      </c>
      <c r="N60" s="2"/>
      <c r="O60" s="2"/>
      <c r="Q60" s="2">
        <f>SUM(OSRRefD11_49x)+IFERROR(SUM(OSRRefE11_49x),0)</f>
        <v>709.1</v>
      </c>
    </row>
    <row r="61" spans="1:17" s="9" customFormat="1" hidden="1" outlineLevel="1" x14ac:dyDescent="0.25">
      <c r="A61" s="23"/>
      <c r="B61" s="10" t="str">
        <f>CONCATENATE("          ","4145", " - ","NON-TAXABLE SALES-SPECIAL ORDE")</f>
        <v xml:space="preserve">          4145 - NON-TAXABLE SALES-SPECIAL ORDE</v>
      </c>
      <c r="C61" s="22"/>
      <c r="D61" s="2">
        <f>--35496</f>
        <v>35496</v>
      </c>
      <c r="E61" s="2">
        <f>--350</f>
        <v>350</v>
      </c>
      <c r="F61" s="2">
        <f t="shared" ref="F61:G61" si="25">0</f>
        <v>0</v>
      </c>
      <c r="G61" s="2">
        <f t="shared" si="25"/>
        <v>0</v>
      </c>
      <c r="H61" s="2">
        <f>--2800</f>
        <v>2800</v>
      </c>
      <c r="I61" s="2">
        <f>--16747.77</f>
        <v>16747.77</v>
      </c>
      <c r="J61" s="2">
        <f>-1677.68</f>
        <v>-1677.68</v>
      </c>
      <c r="K61" s="2">
        <f t="shared" ref="K61:L61" si="26">0</f>
        <v>0</v>
      </c>
      <c r="L61" s="2">
        <f t="shared" si="26"/>
        <v>0</v>
      </c>
      <c r="M61" s="2">
        <f>--20350.8</f>
        <v>20350.8</v>
      </c>
      <c r="N61" s="2"/>
      <c r="O61" s="2"/>
      <c r="Q61" s="2">
        <f>SUM(OSRRefD11_50x)+IFERROR(SUM(OSRRefE11_50x),0)</f>
        <v>74066.89</v>
      </c>
    </row>
    <row r="62" spans="1:17" s="9" customFormat="1" hidden="1" outlineLevel="1" x14ac:dyDescent="0.25">
      <c r="A62" s="23"/>
      <c r="B62" s="10" t="str">
        <f>CONCATENATE("          ","4146", " - ","NON-TAXABLE SALES-COIN OP MACH")</f>
        <v xml:space="preserve">          4146 - NON-TAXABLE SALES-COIN OP MACH</v>
      </c>
      <c r="C62" s="22"/>
      <c r="D62" s="2">
        <f>0</f>
        <v>0</v>
      </c>
      <c r="E62" s="2">
        <f>--15.5</f>
        <v>15.5</v>
      </c>
      <c r="F62" s="2">
        <f>--49.7</f>
        <v>49.7</v>
      </c>
      <c r="G62" s="2">
        <f>--21.3</f>
        <v>21.3</v>
      </c>
      <c r="H62" s="2">
        <f>--21.5</f>
        <v>21.5</v>
      </c>
      <c r="I62" s="2">
        <f>--19.9</f>
        <v>19.899999999999999</v>
      </c>
      <c r="J62" s="2">
        <f>--12.7</f>
        <v>12.7</v>
      </c>
      <c r="K62" s="2">
        <f>--67.8</f>
        <v>67.8</v>
      </c>
      <c r="L62" s="2">
        <f>--90.7</f>
        <v>90.7</v>
      </c>
      <c r="M62" s="2">
        <f>--30.2</f>
        <v>30.2</v>
      </c>
      <c r="N62" s="2"/>
      <c r="O62" s="2"/>
      <c r="Q62" s="2">
        <f>SUM(OSRRefD11_51x)+IFERROR(SUM(OSRRefE11_51x),0)</f>
        <v>329.29999999999995</v>
      </c>
    </row>
    <row r="63" spans="1:17" s="9" customFormat="1" hidden="1" outlineLevel="1" x14ac:dyDescent="0.25">
      <c r="A63" s="23"/>
      <c r="B63" s="10" t="str">
        <f>CONCATENATE("          ","4147", " - ","NON-TAXABLE SALES-MISC")</f>
        <v xml:space="preserve">          4147 - NON-TAXABLE SALES-MISC</v>
      </c>
      <c r="C63" s="22"/>
      <c r="D63" s="2">
        <f>--1</f>
        <v>1</v>
      </c>
      <c r="E63" s="2">
        <f>--23</f>
        <v>23</v>
      </c>
      <c r="F63" s="2">
        <f>--24</f>
        <v>24</v>
      </c>
      <c r="G63" s="2">
        <f>--38.5</f>
        <v>38.5</v>
      </c>
      <c r="H63" s="2">
        <f>--5</f>
        <v>5</v>
      </c>
      <c r="I63" s="2">
        <f>--13</f>
        <v>13</v>
      </c>
      <c r="J63" s="2">
        <f>--11</f>
        <v>11</v>
      </c>
      <c r="K63" s="2">
        <f>--17</f>
        <v>17</v>
      </c>
      <c r="L63" s="2">
        <f t="shared" ref="L63:M63" si="27">--11</f>
        <v>11</v>
      </c>
      <c r="M63" s="2">
        <f t="shared" si="27"/>
        <v>11</v>
      </c>
      <c r="N63" s="2"/>
      <c r="O63" s="2"/>
      <c r="Q63" s="2">
        <f>SUM(OSRRefD11_52x)+IFERROR(SUM(OSRRefE11_52x),0)</f>
        <v>154.5</v>
      </c>
    </row>
    <row r="64" spans="1:17" s="9" customFormat="1" hidden="1" outlineLevel="1" x14ac:dyDescent="0.25">
      <c r="A64" s="23"/>
      <c r="B64" s="10" t="str">
        <f>CONCATENATE("          ","4151", " - ","NON-TAXABLE SALES-FOOD")</f>
        <v xml:space="preserve">          4151 - NON-TAXABLE SALES-FOOD</v>
      </c>
      <c r="C64" s="22"/>
      <c r="D64" s="2">
        <f>--1300</f>
        <v>1300</v>
      </c>
      <c r="E64" s="2">
        <f>--42758.9</f>
        <v>42758.9</v>
      </c>
      <c r="F64" s="2">
        <f>--223549.77</f>
        <v>223549.77</v>
      </c>
      <c r="G64" s="2">
        <f>--173820.37</f>
        <v>173820.37</v>
      </c>
      <c r="H64" s="2">
        <f>--101465.72</f>
        <v>101465.72</v>
      </c>
      <c r="I64" s="2">
        <f>--85481.84</f>
        <v>85481.84</v>
      </c>
      <c r="J64" s="2">
        <f>--35996.95</f>
        <v>35996.949999999997</v>
      </c>
      <c r="K64" s="2">
        <f>--78596.26</f>
        <v>78596.259999999995</v>
      </c>
      <c r="L64" s="2">
        <f>--89340.04</f>
        <v>89340.04</v>
      </c>
      <c r="M64" s="2">
        <f>--91787.27</f>
        <v>91787.27</v>
      </c>
      <c r="N64" s="2"/>
      <c r="O64" s="2"/>
      <c r="Q64" s="2">
        <f>SUM(OSRRefD11_53x)+IFERROR(SUM(OSRRefE11_53x),0)</f>
        <v>924097.12</v>
      </c>
    </row>
    <row r="65" spans="1:17" s="9" customFormat="1" hidden="1" outlineLevel="1" x14ac:dyDescent="0.25">
      <c r="A65" s="23"/>
      <c r="B65" s="10" t="str">
        <f>CONCATENATE("          ","4152", " - ","NON-TAXABLE SALES-FOOD")</f>
        <v xml:space="preserve">          4152 - NON-TAXABLE SALES-FOOD</v>
      </c>
      <c r="C65" s="22"/>
      <c r="D65" s="2">
        <f t="shared" ref="D65:L65" si="28">0</f>
        <v>0</v>
      </c>
      <c r="E65" s="2">
        <f t="shared" si="28"/>
        <v>0</v>
      </c>
      <c r="F65" s="2">
        <f t="shared" si="28"/>
        <v>0</v>
      </c>
      <c r="G65" s="2">
        <f t="shared" si="28"/>
        <v>0</v>
      </c>
      <c r="H65" s="2">
        <f t="shared" si="28"/>
        <v>0</v>
      </c>
      <c r="I65" s="2">
        <f t="shared" si="28"/>
        <v>0</v>
      </c>
      <c r="J65" s="2">
        <f t="shared" si="28"/>
        <v>0</v>
      </c>
      <c r="K65" s="2">
        <f t="shared" si="28"/>
        <v>0</v>
      </c>
      <c r="L65" s="2">
        <f t="shared" si="28"/>
        <v>0</v>
      </c>
      <c r="M65" s="2">
        <f>--11580.95</f>
        <v>11580.95</v>
      </c>
      <c r="N65" s="2"/>
      <c r="O65" s="2"/>
      <c r="Q65" s="2">
        <f>SUM(OSRRefD11_54x)+IFERROR(SUM(OSRRefE11_54x),0)</f>
        <v>11580.95</v>
      </c>
    </row>
    <row r="66" spans="1:17" s="9" customFormat="1" hidden="1" outlineLevel="1" x14ac:dyDescent="0.25">
      <c r="A66" s="23"/>
      <c r="B66" s="10" t="str">
        <f>CONCATENATE("          ","4153", " - ","NON-TAXABLE SALES-FOOD")</f>
        <v xml:space="preserve">          4153 - NON-TAXABLE SALES-FOOD</v>
      </c>
      <c r="C66" s="22"/>
      <c r="D66" s="2">
        <f>--17828.03</f>
        <v>17828.03</v>
      </c>
      <c r="E66" s="2">
        <f>--9247.39</f>
        <v>9247.39</v>
      </c>
      <c r="F66" s="2">
        <f>--3278.36</f>
        <v>3278.36</v>
      </c>
      <c r="G66" s="2">
        <f>-14477.2</f>
        <v>-14477.2</v>
      </c>
      <c r="H66" s="2">
        <f>--10357.28</f>
        <v>10357.280000000001</v>
      </c>
      <c r="I66" s="2">
        <f>--3637.54</f>
        <v>3637.54</v>
      </c>
      <c r="J66" s="2">
        <f>--2207.76</f>
        <v>2207.7600000000002</v>
      </c>
      <c r="K66" s="2">
        <f>--5999.41</f>
        <v>5999.41</v>
      </c>
      <c r="L66" s="2">
        <f>--5271.34</f>
        <v>5271.34</v>
      </c>
      <c r="M66" s="2">
        <f>--4488.82</f>
        <v>4488.82</v>
      </c>
      <c r="N66" s="2"/>
      <c r="O66" s="2"/>
      <c r="Q66" s="2">
        <f>SUM(OSRRefD11_55x)+IFERROR(SUM(OSRRefE11_55x),0)</f>
        <v>47838.73</v>
      </c>
    </row>
    <row r="67" spans="1:17" s="9" customFormat="1" hidden="1" outlineLevel="1" x14ac:dyDescent="0.25">
      <c r="A67" s="23"/>
      <c r="B67" s="10" t="str">
        <f>CONCATENATE("          ","4181", " - ","NON-TAXABLE SALES-ELECTRONICS")</f>
        <v xml:space="preserve">          4181 - NON-TAXABLE SALES-ELECTRONICS</v>
      </c>
      <c r="C67" s="22"/>
      <c r="D67" s="2">
        <f>--289.98</f>
        <v>289.98</v>
      </c>
      <c r="E67" s="2">
        <f>--2349.29</f>
        <v>2349.29</v>
      </c>
      <c r="F67" s="2">
        <f>--669.89</f>
        <v>669.89</v>
      </c>
      <c r="G67" s="2">
        <f>--194.97</f>
        <v>194.97</v>
      </c>
      <c r="H67" s="2">
        <f>--29.99</f>
        <v>29.99</v>
      </c>
      <c r="I67" s="2">
        <f>0</f>
        <v>0</v>
      </c>
      <c r="J67" s="2">
        <f>--2038.6</f>
        <v>2038.6</v>
      </c>
      <c r="K67" s="2">
        <f>--6619.94</f>
        <v>6619.94</v>
      </c>
      <c r="L67" s="2">
        <f>--285.97</f>
        <v>285.97000000000003</v>
      </c>
      <c r="M67" s="2">
        <f>--29.99</f>
        <v>29.99</v>
      </c>
      <c r="N67" s="2"/>
      <c r="O67" s="2"/>
      <c r="Q67" s="2">
        <f>SUM(OSRRefD11_56x)+IFERROR(SUM(OSRRefE11_56x),0)</f>
        <v>12508.619999999999</v>
      </c>
    </row>
    <row r="68" spans="1:17" s="9" customFormat="1" hidden="1" outlineLevel="1" x14ac:dyDescent="0.25">
      <c r="A68" s="23"/>
      <c r="B68" s="10" t="str">
        <f>CONCATENATE("          ","4182", " - ","NON-TAXABLE SALES-COMPUTER HAR")</f>
        <v xml:space="preserve">          4182 - NON-TAXABLE SALES-COMPUTER HAR</v>
      </c>
      <c r="C68" s="22"/>
      <c r="D68" s="2">
        <f>--35876.99</f>
        <v>35876.99</v>
      </c>
      <c r="E68" s="2">
        <f>--46190.39</f>
        <v>46190.39</v>
      </c>
      <c r="F68" s="2">
        <f>--38657</f>
        <v>38657</v>
      </c>
      <c r="G68" s="2">
        <f>--24570</f>
        <v>24570</v>
      </c>
      <c r="H68" s="2">
        <f>--9499.97</f>
        <v>9499.9699999999993</v>
      </c>
      <c r="I68" s="2">
        <f>--9513.96</f>
        <v>9513.9599999999991</v>
      </c>
      <c r="J68" s="2">
        <f>--22090.89</f>
        <v>22090.89</v>
      </c>
      <c r="K68" s="2">
        <f>--33247.79</f>
        <v>33247.79</v>
      </c>
      <c r="L68" s="2">
        <f>--33767.84</f>
        <v>33767.839999999997</v>
      </c>
      <c r="M68" s="2">
        <f>--61075.64</f>
        <v>61075.64</v>
      </c>
      <c r="N68" s="2"/>
      <c r="O68" s="2"/>
      <c r="Q68" s="2">
        <f>SUM(OSRRefD11_57x)+IFERROR(SUM(OSRRefE11_57x),0)</f>
        <v>314490.47000000003</v>
      </c>
    </row>
    <row r="69" spans="1:17" s="9" customFormat="1" hidden="1" outlineLevel="1" x14ac:dyDescent="0.25">
      <c r="A69" s="23"/>
      <c r="B69" s="10" t="str">
        <f>CONCATENATE("          ","4183", " - ","NON-TAXABLE SALES-COMPUTER EQU")</f>
        <v xml:space="preserve">          4183 - NON-TAXABLE SALES-COMPUTER EQU</v>
      </c>
      <c r="C69" s="22"/>
      <c r="D69" s="2">
        <f>--1359.85</f>
        <v>1359.85</v>
      </c>
      <c r="E69" s="2">
        <f>--1759.83</f>
        <v>1759.83</v>
      </c>
      <c r="F69" s="2">
        <f>--1946.8</f>
        <v>1946.8</v>
      </c>
      <c r="G69" s="2">
        <f>--1269.91</f>
        <v>1269.9100000000001</v>
      </c>
      <c r="H69" s="2">
        <f>--1033.89</f>
        <v>1033.8900000000001</v>
      </c>
      <c r="I69" s="2">
        <f>--258.91</f>
        <v>258.91000000000003</v>
      </c>
      <c r="J69" s="2">
        <f>--2888.95</f>
        <v>2888.95</v>
      </c>
      <c r="K69" s="2">
        <f>--3104.68</f>
        <v>3104.68</v>
      </c>
      <c r="L69" s="2">
        <f>--2983.61</f>
        <v>2983.61</v>
      </c>
      <c r="M69" s="2">
        <f>--2879.59</f>
        <v>2879.59</v>
      </c>
      <c r="N69" s="2"/>
      <c r="O69" s="2"/>
      <c r="Q69" s="2">
        <f>SUM(OSRRefD11_58x)+IFERROR(SUM(OSRRefE11_58x),0)</f>
        <v>19486.02</v>
      </c>
    </row>
    <row r="70" spans="1:17" s="9" customFormat="1" hidden="1" outlineLevel="1" x14ac:dyDescent="0.25">
      <c r="A70" s="23"/>
      <c r="B70" s="10" t="str">
        <f>CONCATENATE("          ","4185", " - ","NON-TAXABLE SALES-SOFTWARE")</f>
        <v xml:space="preserve">          4185 - NON-TAXABLE SALES-SOFTWARE</v>
      </c>
      <c r="C70" s="22"/>
      <c r="D70" s="2">
        <f>--6187.74</f>
        <v>6187.74</v>
      </c>
      <c r="E70" s="2">
        <f>--4610.75</f>
        <v>4610.75</v>
      </c>
      <c r="F70" s="2">
        <f>--8427.6</f>
        <v>8427.6</v>
      </c>
      <c r="G70" s="2">
        <f>--4590.76</f>
        <v>4590.76</v>
      </c>
      <c r="H70" s="2">
        <f>--1989.89</f>
        <v>1989.89</v>
      </c>
      <c r="I70" s="2">
        <f>--873.93</f>
        <v>873.93</v>
      </c>
      <c r="J70" s="2">
        <f>--3149.85</f>
        <v>3149.85</v>
      </c>
      <c r="K70" s="2">
        <f>--5296.67</f>
        <v>5296.67</v>
      </c>
      <c r="L70" s="2">
        <f>--3559.59</f>
        <v>3559.59</v>
      </c>
      <c r="M70" s="2">
        <f>--11345.61</f>
        <v>11345.61</v>
      </c>
      <c r="N70" s="2"/>
      <c r="O70" s="2"/>
      <c r="Q70" s="2">
        <f>SUM(OSRRefD11_59x)+IFERROR(SUM(OSRRefE11_59x),0)</f>
        <v>50032.39</v>
      </c>
    </row>
    <row r="71" spans="1:17" s="9" customFormat="1" hidden="1" outlineLevel="1" x14ac:dyDescent="0.25">
      <c r="A71" s="23"/>
      <c r="B71" s="10" t="str">
        <f>CONCATENATE("          ","4186", " - ","NON-TAXABLE SALES-COMPUTER SUP")</f>
        <v xml:space="preserve">          4186 - NON-TAXABLE SALES-COMPUTER SUP</v>
      </c>
      <c r="C71" s="22"/>
      <c r="D71" s="2">
        <f>--154.95</f>
        <v>154.94999999999999</v>
      </c>
      <c r="E71" s="2">
        <f>--257.95</f>
        <v>257.95</v>
      </c>
      <c r="F71" s="2">
        <f>--460.89</f>
        <v>460.89</v>
      </c>
      <c r="G71" s="2">
        <f>--855.98</f>
        <v>855.98</v>
      </c>
      <c r="H71" s="2">
        <f>--44</f>
        <v>44</v>
      </c>
      <c r="I71" s="2">
        <f>--176.22</f>
        <v>176.22</v>
      </c>
      <c r="J71" s="2">
        <f>--535.04</f>
        <v>535.04</v>
      </c>
      <c r="K71" s="2">
        <f>--345.23</f>
        <v>345.23</v>
      </c>
      <c r="L71" s="2">
        <f>--424.94</f>
        <v>424.94</v>
      </c>
      <c r="M71" s="2">
        <f>--89.97</f>
        <v>89.97</v>
      </c>
      <c r="N71" s="2"/>
      <c r="O71" s="2"/>
      <c r="Q71" s="2">
        <f>SUM(OSRRefD11_60x)+IFERROR(SUM(OSRRefE11_60x),0)</f>
        <v>3345.1699999999996</v>
      </c>
    </row>
    <row r="72" spans="1:17" s="9" customFormat="1" hidden="1" outlineLevel="1" x14ac:dyDescent="0.25">
      <c r="A72" s="23"/>
      <c r="B72" s="10" t="str">
        <f>CONCATENATE("          ","4201", " - ","SALES RETURN TAXABLE-NEW TEXT")</f>
        <v xml:space="preserve">          4201 - SALES RETURN TAXABLE-NEW TEXT</v>
      </c>
      <c r="C72" s="22"/>
      <c r="D72" s="2">
        <f>-633.4</f>
        <v>-633.4</v>
      </c>
      <c r="E72" s="2">
        <f>-18222.39</f>
        <v>-18222.39</v>
      </c>
      <c r="F72" s="2">
        <f>-13393.2</f>
        <v>-13393.2</v>
      </c>
      <c r="G72" s="2">
        <f>-1512.25</f>
        <v>-1512.25</v>
      </c>
      <c r="H72" s="2">
        <f>-1333.42</f>
        <v>-1333.42</v>
      </c>
      <c r="I72" s="2">
        <f>-681.18</f>
        <v>-681.18</v>
      </c>
      <c r="J72" s="2">
        <f>-12741.9</f>
        <v>-12741.9</v>
      </c>
      <c r="K72" s="2">
        <f>-2146.49</f>
        <v>-2146.4899999999998</v>
      </c>
      <c r="L72" s="2">
        <f>-596.94</f>
        <v>-596.94000000000005</v>
      </c>
      <c r="M72" s="2">
        <f>-376.85</f>
        <v>-376.85</v>
      </c>
      <c r="N72" s="2"/>
      <c r="O72" s="2"/>
      <c r="Q72" s="2">
        <f>SUM(OSRRefD11_61x)+IFERROR(SUM(OSRRefE11_61x),0)</f>
        <v>-51638.020000000004</v>
      </c>
    </row>
    <row r="73" spans="1:17" s="9" customFormat="1" hidden="1" outlineLevel="1" x14ac:dyDescent="0.25">
      <c r="A73" s="23"/>
      <c r="B73" s="10" t="str">
        <f>CONCATENATE("          ","4202", " - ","SALES RETURN TAXABLE-USED TEXT")</f>
        <v xml:space="preserve">          4202 - SALES RETURN TAXABLE-USED TEXT</v>
      </c>
      <c r="C73" s="22"/>
      <c r="D73" s="2">
        <f>-178.35</f>
        <v>-178.35</v>
      </c>
      <c r="E73" s="2">
        <f>-8869.4</f>
        <v>-8869.4</v>
      </c>
      <c r="F73" s="2">
        <f>-1345.2</f>
        <v>-1345.2</v>
      </c>
      <c r="G73" s="2">
        <f>-136.05</f>
        <v>-136.05000000000001</v>
      </c>
      <c r="H73" s="2">
        <f>-3274.35</f>
        <v>-3274.35</v>
      </c>
      <c r="I73" s="2">
        <f>-62.65</f>
        <v>-62.65</v>
      </c>
      <c r="J73" s="2">
        <f>-4670.3</f>
        <v>-4670.3</v>
      </c>
      <c r="K73" s="2">
        <f>-1199.21</f>
        <v>-1199.21</v>
      </c>
      <c r="L73" s="2">
        <f>-153.8</f>
        <v>-153.80000000000001</v>
      </c>
      <c r="M73" s="2">
        <f>-206.95</f>
        <v>-206.95</v>
      </c>
      <c r="N73" s="2"/>
      <c r="O73" s="2"/>
      <c r="Q73" s="2">
        <f>SUM(OSRRefD11_62x)+IFERROR(SUM(OSRRefE11_62x),0)</f>
        <v>-20096.259999999998</v>
      </c>
    </row>
    <row r="74" spans="1:17" s="9" customFormat="1" hidden="1" outlineLevel="1" x14ac:dyDescent="0.25">
      <c r="A74" s="23"/>
      <c r="B74" s="10" t="str">
        <f>CONCATENATE("          ","4204", " - ","SALES RETURN TAXABLE-DIGITAL T")</f>
        <v xml:space="preserve">          4204 - SALES RETURN TAXABLE-DIGITAL T</v>
      </c>
      <c r="C74" s="22"/>
      <c r="D74" s="2">
        <f t="shared" ref="D74:D76" si="29">0</f>
        <v>0</v>
      </c>
      <c r="E74" s="2">
        <f>-1141.08</f>
        <v>-1141.08</v>
      </c>
      <c r="F74" s="2">
        <f>-105.87</f>
        <v>-105.87</v>
      </c>
      <c r="G74" s="2">
        <f>-383.9</f>
        <v>-383.9</v>
      </c>
      <c r="H74" s="2">
        <f t="shared" ref="H74:J77" si="30">0</f>
        <v>0</v>
      </c>
      <c r="I74" s="2">
        <f t="shared" si="30"/>
        <v>0</v>
      </c>
      <c r="J74" s="2">
        <f t="shared" si="30"/>
        <v>0</v>
      </c>
      <c r="K74" s="2">
        <f>-132.25</f>
        <v>-132.25</v>
      </c>
      <c r="L74" s="2">
        <f t="shared" ref="L74:M75" si="31">0</f>
        <v>0</v>
      </c>
      <c r="M74" s="2">
        <f t="shared" si="31"/>
        <v>0</v>
      </c>
      <c r="N74" s="2"/>
      <c r="O74" s="2"/>
      <c r="Q74" s="2">
        <f>SUM(OSRRefD11_63x)+IFERROR(SUM(OSRRefE11_63x),0)</f>
        <v>-1763.1</v>
      </c>
    </row>
    <row r="75" spans="1:17" s="9" customFormat="1" hidden="1" outlineLevel="1" x14ac:dyDescent="0.25">
      <c r="A75" s="23"/>
      <c r="B75" s="10" t="str">
        <f>CONCATENATE("          ","4213", " - ","NON-TAXABLE SALES-TRADE BOOKS")</f>
        <v xml:space="preserve">          4213 - NON-TAXABLE SALES-TRADE BOOKS</v>
      </c>
      <c r="C75" s="22"/>
      <c r="D75" s="2">
        <f t="shared" si="29"/>
        <v>0</v>
      </c>
      <c r="E75" s="2">
        <f t="shared" ref="E75:E77" si="32">0</f>
        <v>0</v>
      </c>
      <c r="F75" s="2">
        <f t="shared" ref="F75:G76" si="33">0</f>
        <v>0</v>
      </c>
      <c r="G75" s="2">
        <f t="shared" si="33"/>
        <v>0</v>
      </c>
      <c r="H75" s="2">
        <f t="shared" si="30"/>
        <v>0</v>
      </c>
      <c r="I75" s="2">
        <f t="shared" si="30"/>
        <v>0</v>
      </c>
      <c r="J75" s="2">
        <f t="shared" si="30"/>
        <v>0</v>
      </c>
      <c r="K75" s="2">
        <f>-69.93</f>
        <v>-69.930000000000007</v>
      </c>
      <c r="L75" s="2">
        <f t="shared" si="31"/>
        <v>0</v>
      </c>
      <c r="M75" s="2">
        <f t="shared" si="31"/>
        <v>0</v>
      </c>
      <c r="N75" s="2"/>
      <c r="O75" s="2"/>
      <c r="Q75" s="2">
        <f>SUM(OSRRefD11_64x)+IFERROR(SUM(OSRRefE11_64x),0)</f>
        <v>-69.930000000000007</v>
      </c>
    </row>
    <row r="76" spans="1:17" s="9" customFormat="1" hidden="1" outlineLevel="1" x14ac:dyDescent="0.25">
      <c r="A76" s="23"/>
      <c r="B76" s="10" t="str">
        <f>CONCATENATE("          ","4218", " - ","SALES RETURN TAXABLE-STUDY GUI")</f>
        <v xml:space="preserve">          4218 - SALES RETURN TAXABLE-STUDY GUI</v>
      </c>
      <c r="C76" s="22"/>
      <c r="D76" s="2">
        <f t="shared" si="29"/>
        <v>0</v>
      </c>
      <c r="E76" s="2">
        <f t="shared" si="32"/>
        <v>0</v>
      </c>
      <c r="F76" s="2">
        <f t="shared" si="33"/>
        <v>0</v>
      </c>
      <c r="G76" s="2">
        <f t="shared" si="33"/>
        <v>0</v>
      </c>
      <c r="H76" s="2">
        <f t="shared" si="30"/>
        <v>0</v>
      </c>
      <c r="I76" s="2">
        <f t="shared" si="30"/>
        <v>0</v>
      </c>
      <c r="J76" s="2">
        <f t="shared" si="30"/>
        <v>0</v>
      </c>
      <c r="K76" s="2">
        <f t="shared" ref="K76:K77" si="34">0</f>
        <v>0</v>
      </c>
      <c r="L76" s="2">
        <f>-5.21</f>
        <v>-5.21</v>
      </c>
      <c r="M76" s="2">
        <f t="shared" ref="M76:M77" si="35">0</f>
        <v>0</v>
      </c>
      <c r="N76" s="2"/>
      <c r="O76" s="2"/>
      <c r="Q76" s="2">
        <f>SUM(OSRRefD11_65x)+IFERROR(SUM(OSRRefE11_65x),0)</f>
        <v>-5.21</v>
      </c>
    </row>
    <row r="77" spans="1:17" s="9" customFormat="1" hidden="1" outlineLevel="1" x14ac:dyDescent="0.25">
      <c r="A77" s="23"/>
      <c r="B77" s="10" t="str">
        <f>CONCATENATE("          ","4226", " - ","SALES RETURN TAXABLE-WRITING I")</f>
        <v xml:space="preserve">          4226 - SALES RETURN TAXABLE-WRITING I</v>
      </c>
      <c r="C77" s="22"/>
      <c r="D77" s="2">
        <f>-6.38</f>
        <v>-6.38</v>
      </c>
      <c r="E77" s="2">
        <f t="shared" si="32"/>
        <v>0</v>
      </c>
      <c r="F77" s="2">
        <f>-22.49</f>
        <v>-22.49</v>
      </c>
      <c r="G77" s="2">
        <f>-5.36</f>
        <v>-5.36</v>
      </c>
      <c r="H77" s="2">
        <f t="shared" si="30"/>
        <v>0</v>
      </c>
      <c r="I77" s="2">
        <f t="shared" si="30"/>
        <v>0</v>
      </c>
      <c r="J77" s="2">
        <f t="shared" si="30"/>
        <v>0</v>
      </c>
      <c r="K77" s="2">
        <f t="shared" si="34"/>
        <v>0</v>
      </c>
      <c r="L77" s="2">
        <f>0</f>
        <v>0</v>
      </c>
      <c r="M77" s="2">
        <f t="shared" si="35"/>
        <v>0</v>
      </c>
      <c r="N77" s="2"/>
      <c r="O77" s="2"/>
      <c r="Q77" s="2">
        <f>SUM(OSRRefD11_66x)+IFERROR(SUM(OSRRefE11_66x),0)</f>
        <v>-34.229999999999997</v>
      </c>
    </row>
    <row r="78" spans="1:17" s="9" customFormat="1" hidden="1" outlineLevel="1" x14ac:dyDescent="0.25">
      <c r="A78" s="23"/>
      <c r="B78" s="10" t="str">
        <f>CONCATENATE("          ","4227", " - ","SALES RETURN TAXABLE-SCHOOL SU")</f>
        <v xml:space="preserve">          4227 - SALES RETURN TAXABLE-SCHOOL SU</v>
      </c>
      <c r="C78" s="22"/>
      <c r="D78" s="2">
        <f>-56.77</f>
        <v>-56.77</v>
      </c>
      <c r="E78" s="2">
        <f>-359.61</f>
        <v>-359.61</v>
      </c>
      <c r="F78" s="2">
        <f>-152.29</f>
        <v>-152.29</v>
      </c>
      <c r="G78" s="2">
        <f>-9.99</f>
        <v>-9.99</v>
      </c>
      <c r="H78" s="2">
        <f>-31.98</f>
        <v>-31.98</v>
      </c>
      <c r="I78" s="2">
        <f>-25.82</f>
        <v>-25.82</v>
      </c>
      <c r="J78" s="2">
        <f>-126.22</f>
        <v>-126.22</v>
      </c>
      <c r="K78" s="2">
        <f>-19.05</f>
        <v>-19.05</v>
      </c>
      <c r="L78" s="2">
        <f>-64.39</f>
        <v>-64.39</v>
      </c>
      <c r="M78" s="2">
        <f>-500.54</f>
        <v>-500.54</v>
      </c>
      <c r="N78" s="2"/>
      <c r="O78" s="2"/>
      <c r="Q78" s="2">
        <f>SUM(OSRRefD11_67x)+IFERROR(SUM(OSRRefE11_67x),0)</f>
        <v>-1346.66</v>
      </c>
    </row>
    <row r="79" spans="1:17" s="9" customFormat="1" hidden="1" outlineLevel="1" x14ac:dyDescent="0.25">
      <c r="A79" s="23"/>
      <c r="B79" s="10" t="str">
        <f>CONCATENATE("          ","4228", " - ","SALES RETURN TAXABLE-ART/TECH")</f>
        <v xml:space="preserve">          4228 - SALES RETURN TAXABLE-ART/TECH</v>
      </c>
      <c r="C79" s="22"/>
      <c r="D79" s="2">
        <f>0</f>
        <v>0</v>
      </c>
      <c r="E79" s="2">
        <f>-164.44</f>
        <v>-164.44</v>
      </c>
      <c r="F79" s="2">
        <f>-57.76</f>
        <v>-57.76</v>
      </c>
      <c r="G79" s="2">
        <f>0</f>
        <v>0</v>
      </c>
      <c r="H79" s="2">
        <f>-32.49</f>
        <v>-32.49</v>
      </c>
      <c r="I79" s="2">
        <f>0</f>
        <v>0</v>
      </c>
      <c r="J79" s="2">
        <f>-12473.84</f>
        <v>-12473.84</v>
      </c>
      <c r="K79" s="2">
        <f>-10.71</f>
        <v>-10.71</v>
      </c>
      <c r="L79" s="2">
        <f>-98.38</f>
        <v>-98.38</v>
      </c>
      <c r="M79" s="2">
        <f>-136.11</f>
        <v>-136.11000000000001</v>
      </c>
      <c r="N79" s="2"/>
      <c r="O79" s="2"/>
      <c r="Q79" s="2">
        <f>SUM(OSRRefD11_68x)+IFERROR(SUM(OSRRefE11_68x),0)</f>
        <v>-12973.73</v>
      </c>
    </row>
    <row r="80" spans="1:17" s="9" customFormat="1" hidden="1" outlineLevel="1" x14ac:dyDescent="0.25">
      <c r="A80" s="23"/>
      <c r="B80" s="10" t="str">
        <f>CONCATENATE("          ","4240", " - ","SALES RETURN TAXABLE-LOGO CLOT")</f>
        <v xml:space="preserve">          4240 - SALES RETURN TAXABLE-LOGO CLOT</v>
      </c>
      <c r="C80" s="22"/>
      <c r="D80" s="2">
        <f>-3368.1</f>
        <v>-3368.1</v>
      </c>
      <c r="E80" s="2">
        <f>-4788.72</f>
        <v>-4788.72</v>
      </c>
      <c r="F80" s="2">
        <f>-3453.14</f>
        <v>-3453.14</v>
      </c>
      <c r="G80" s="2">
        <f>-2239.56</f>
        <v>-2239.56</v>
      </c>
      <c r="H80" s="2">
        <f>-1729.15</f>
        <v>-1729.15</v>
      </c>
      <c r="I80" s="2">
        <f>-4840.17</f>
        <v>-4840.17</v>
      </c>
      <c r="J80" s="2">
        <f>-7168.03</f>
        <v>-7168.03</v>
      </c>
      <c r="K80" s="2">
        <f>-3542.64</f>
        <v>-3542.64</v>
      </c>
      <c r="L80" s="2">
        <f>-3924.84</f>
        <v>-3924.84</v>
      </c>
      <c r="M80" s="2">
        <f>-5611.92</f>
        <v>-5611.92</v>
      </c>
      <c r="N80" s="2"/>
      <c r="O80" s="2"/>
      <c r="Q80" s="2">
        <f>SUM(OSRRefD11_69x)+IFERROR(SUM(OSRRefE11_69x),0)</f>
        <v>-40666.26999999999</v>
      </c>
    </row>
    <row r="81" spans="1:17" s="9" customFormat="1" hidden="1" outlineLevel="1" x14ac:dyDescent="0.25">
      <c r="A81" s="23"/>
      <c r="B81" s="10" t="str">
        <f>CONCATENATE("          ","4241", " - ","SALES RETURN TAXABLE-LOGO GIFT")</f>
        <v xml:space="preserve">          4241 - SALES RETURN TAXABLE-LOGO GIFT</v>
      </c>
      <c r="C81" s="22"/>
      <c r="D81" s="2">
        <f>-341.98</f>
        <v>-341.98</v>
      </c>
      <c r="E81" s="2">
        <f>-986.21</f>
        <v>-986.21</v>
      </c>
      <c r="F81" s="2">
        <f>-988.92</f>
        <v>-988.92</v>
      </c>
      <c r="G81" s="2">
        <f>-379.45</f>
        <v>-379.45</v>
      </c>
      <c r="H81" s="2">
        <f>-108.29</f>
        <v>-108.29</v>
      </c>
      <c r="I81" s="2">
        <f>-755.16</f>
        <v>-755.16</v>
      </c>
      <c r="J81" s="2">
        <f>-1397.46</f>
        <v>-1397.46</v>
      </c>
      <c r="K81" s="2">
        <f>-338.05</f>
        <v>-338.05</v>
      </c>
      <c r="L81" s="2">
        <f>-1222.82</f>
        <v>-1222.82</v>
      </c>
      <c r="M81" s="2">
        <f>-5656.91</f>
        <v>-5656.91</v>
      </c>
      <c r="N81" s="2"/>
      <c r="O81" s="2"/>
      <c r="Q81" s="2">
        <f>SUM(OSRRefD11_70x)+IFERROR(SUM(OSRRefE11_70x),0)</f>
        <v>-12175.25</v>
      </c>
    </row>
    <row r="82" spans="1:17" s="9" customFormat="1" hidden="1" outlineLevel="1" x14ac:dyDescent="0.25">
      <c r="A82" s="23"/>
      <c r="B82" s="10" t="str">
        <f>CONCATENATE("          ","4242", " - ","SALES RETURN TAXABLE-EVERYDAY")</f>
        <v xml:space="preserve">          4242 - SALES RETURN TAXABLE-EVERYDAY</v>
      </c>
      <c r="C82" s="22"/>
      <c r="D82" s="2">
        <f>-178.96</f>
        <v>-178.96</v>
      </c>
      <c r="E82" s="2">
        <f>-470.53</f>
        <v>-470.53</v>
      </c>
      <c r="F82" s="2">
        <f>-405.07</f>
        <v>-405.07</v>
      </c>
      <c r="G82" s="2">
        <f>-266.95</f>
        <v>-266.95</v>
      </c>
      <c r="H82" s="2">
        <f>-7.48</f>
        <v>-7.48</v>
      </c>
      <c r="I82" s="2">
        <f>-287.93</f>
        <v>-287.93</v>
      </c>
      <c r="J82" s="2">
        <f>-76.86</f>
        <v>-76.86</v>
      </c>
      <c r="K82" s="2">
        <f>-44.96</f>
        <v>-44.96</v>
      </c>
      <c r="L82" s="2">
        <f>-565.08</f>
        <v>-565.08000000000004</v>
      </c>
      <c r="M82" s="2">
        <f>-332.27</f>
        <v>-332.27</v>
      </c>
      <c r="N82" s="2"/>
      <c r="O82" s="2"/>
      <c r="Q82" s="2">
        <f>SUM(OSRRefD11_71x)+IFERROR(SUM(OSRRefE11_71x),0)</f>
        <v>-2636.09</v>
      </c>
    </row>
    <row r="83" spans="1:17" s="9" customFormat="1" hidden="1" outlineLevel="1" x14ac:dyDescent="0.25">
      <c r="A83" s="23"/>
      <c r="B83" s="10" t="str">
        <f>CONCATENATE("          ","4243", " - ","SALES RETURN TAXABLE-CARDS")</f>
        <v xml:space="preserve">          4243 - SALES RETURN TAXABLE-CARDS</v>
      </c>
      <c r="C83" s="22"/>
      <c r="D83" s="2">
        <f t="shared" ref="D83:D84" si="36">0</f>
        <v>0</v>
      </c>
      <c r="E83" s="2">
        <f>-93.43</f>
        <v>-93.43</v>
      </c>
      <c r="F83" s="2">
        <f>-59.94</f>
        <v>-59.94</v>
      </c>
      <c r="G83" s="2">
        <f>-829.55</f>
        <v>-829.55</v>
      </c>
      <c r="H83" s="2">
        <f>-829.54</f>
        <v>-829.54</v>
      </c>
      <c r="I83" s="2">
        <f>-1765.08</f>
        <v>-1765.08</v>
      </c>
      <c r="J83" s="2">
        <f>-1422.25</f>
        <v>-1422.25</v>
      </c>
      <c r="K83" s="2">
        <f>-369.81</f>
        <v>-369.81</v>
      </c>
      <c r="L83" s="2">
        <f>-572.63</f>
        <v>-572.63</v>
      </c>
      <c r="M83" s="2">
        <f>-199.86</f>
        <v>-199.86</v>
      </c>
      <c r="N83" s="2"/>
      <c r="O83" s="2"/>
      <c r="Q83" s="2">
        <f>SUM(OSRRefD11_72x)+IFERROR(SUM(OSRRefE11_72x),0)</f>
        <v>-6142.09</v>
      </c>
    </row>
    <row r="84" spans="1:17" s="9" customFormat="1" hidden="1" outlineLevel="1" x14ac:dyDescent="0.25">
      <c r="A84" s="23"/>
      <c r="B84" s="10" t="str">
        <f>CONCATENATE("          ","4244", " - ","SALES RETURN TAXABLE-ACCESSORI")</f>
        <v xml:space="preserve">          4244 - SALES RETURN TAXABLE-ACCESSORI</v>
      </c>
      <c r="C84" s="22"/>
      <c r="D84" s="2">
        <f t="shared" si="36"/>
        <v>0</v>
      </c>
      <c r="E84" s="2">
        <f>-350.99</f>
        <v>-350.99</v>
      </c>
      <c r="F84" s="2">
        <f>-60</f>
        <v>-60</v>
      </c>
      <c r="G84" s="2">
        <f>0</f>
        <v>0</v>
      </c>
      <c r="H84" s="2">
        <f>-179.95</f>
        <v>-179.95</v>
      </c>
      <c r="I84" s="2">
        <f>-299.93</f>
        <v>-299.93</v>
      </c>
      <c r="J84" s="2">
        <f>-93.98</f>
        <v>-93.98</v>
      </c>
      <c r="K84" s="2">
        <f>-9.99</f>
        <v>-9.99</v>
      </c>
      <c r="L84" s="2">
        <f>-240.42</f>
        <v>-240.42</v>
      </c>
      <c r="M84" s="2">
        <f>-8.24</f>
        <v>-8.24</v>
      </c>
      <c r="N84" s="2"/>
      <c r="O84" s="2"/>
      <c r="Q84" s="2">
        <f>SUM(OSRRefD11_73x)+IFERROR(SUM(OSRRefE11_73x),0)</f>
        <v>-1243.5000000000002</v>
      </c>
    </row>
    <row r="85" spans="1:17" s="9" customFormat="1" hidden="1" outlineLevel="1" x14ac:dyDescent="0.25">
      <c r="A85" s="23"/>
      <c r="B85" s="10" t="str">
        <f>CONCATENATE("          ","4245", " - ","SALES RETURN TAXABLE-SPECIAL O")</f>
        <v xml:space="preserve">          4245 - SALES RETURN TAXABLE-SPECIAL O</v>
      </c>
      <c r="C85" s="22"/>
      <c r="D85" s="2">
        <f>-1121</f>
        <v>-1121</v>
      </c>
      <c r="E85" s="2">
        <f>-57.96</f>
        <v>-57.96</v>
      </c>
      <c r="F85" s="2">
        <f>-3.99</f>
        <v>-3.99</v>
      </c>
      <c r="G85" s="2">
        <f>-363.98</f>
        <v>-363.98</v>
      </c>
      <c r="H85" s="2">
        <f>-45.89</f>
        <v>-45.89</v>
      </c>
      <c r="I85" s="2">
        <f>-9752.79</f>
        <v>-9752.7900000000009</v>
      </c>
      <c r="J85" s="2">
        <f>0</f>
        <v>0</v>
      </c>
      <c r="K85" s="2">
        <f>-7.98</f>
        <v>-7.98</v>
      </c>
      <c r="L85" s="2">
        <f t="shared" ref="L85:L86" si="37">0</f>
        <v>0</v>
      </c>
      <c r="M85" s="2">
        <f>-4071.14</f>
        <v>-4071.14</v>
      </c>
      <c r="N85" s="2"/>
      <c r="O85" s="2"/>
      <c r="Q85" s="2">
        <f>SUM(OSRRefD11_74x)+IFERROR(SUM(OSRRefE11_74x),0)</f>
        <v>-15424.73</v>
      </c>
    </row>
    <row r="86" spans="1:17" s="9" customFormat="1" hidden="1" outlineLevel="1" x14ac:dyDescent="0.25">
      <c r="A86" s="23"/>
      <c r="B86" s="10" t="str">
        <f>CONCATENATE("          ","4281", " - ","SALES RETURN TAXABLE-ELECTRONI")</f>
        <v xml:space="preserve">          4281 - SALES RETURN TAXABLE-ELECTRONI</v>
      </c>
      <c r="C86" s="22"/>
      <c r="D86" s="2">
        <f>-6291.99</f>
        <v>-6291.99</v>
      </c>
      <c r="E86" s="2">
        <f>-7424.23</f>
        <v>-7424.23</v>
      </c>
      <c r="F86" s="2">
        <f>-557.94</f>
        <v>-557.94000000000005</v>
      </c>
      <c r="G86" s="2">
        <f>-357.99</f>
        <v>-357.99</v>
      </c>
      <c r="H86" s="2">
        <f t="shared" ref="H86:I86" si="38">0</f>
        <v>0</v>
      </c>
      <c r="I86" s="2">
        <f t="shared" si="38"/>
        <v>0</v>
      </c>
      <c r="J86" s="2">
        <f>-129.99</f>
        <v>-129.99</v>
      </c>
      <c r="K86" s="2">
        <f>0</f>
        <v>0</v>
      </c>
      <c r="L86" s="2">
        <f t="shared" si="37"/>
        <v>0</v>
      </c>
      <c r="M86" s="2">
        <f>0</f>
        <v>0</v>
      </c>
      <c r="N86" s="2"/>
      <c r="O86" s="2"/>
      <c r="Q86" s="2">
        <f>SUM(OSRRefD11_75x)+IFERROR(SUM(OSRRefE11_75x),0)</f>
        <v>-14762.14</v>
      </c>
    </row>
    <row r="87" spans="1:17" s="9" customFormat="1" hidden="1" outlineLevel="1" x14ac:dyDescent="0.25">
      <c r="A87" s="23"/>
      <c r="B87" s="10" t="str">
        <f>CONCATENATE("          ","4282", " - ","SALES RETURN TAXABLE-COMPUTER")</f>
        <v xml:space="preserve">          4282 - SALES RETURN TAXABLE-COMPUTER</v>
      </c>
      <c r="C87" s="22"/>
      <c r="D87" s="2">
        <f>-18207</f>
        <v>-18207</v>
      </c>
      <c r="E87" s="2">
        <f>-15442</f>
        <v>-15442</v>
      </c>
      <c r="F87" s="2">
        <f>-14636</f>
        <v>-14636</v>
      </c>
      <c r="G87" s="2">
        <f>-20038</f>
        <v>-20038</v>
      </c>
      <c r="H87" s="2">
        <f>-15761.01</f>
        <v>-15761.01</v>
      </c>
      <c r="I87" s="2">
        <f>-7936</f>
        <v>-7936</v>
      </c>
      <c r="J87" s="2">
        <f>-4897</f>
        <v>-4897</v>
      </c>
      <c r="K87" s="2">
        <f>-32711.15</f>
        <v>-32711.15</v>
      </c>
      <c r="L87" s="2">
        <f>-43137</f>
        <v>-43137</v>
      </c>
      <c r="M87" s="2">
        <f>-42380</f>
        <v>-42380</v>
      </c>
      <c r="N87" s="2"/>
      <c r="O87" s="2"/>
      <c r="Q87" s="2">
        <f>SUM(OSRRefD11_76x)+IFERROR(SUM(OSRRefE11_76x),0)</f>
        <v>-215145.16</v>
      </c>
    </row>
    <row r="88" spans="1:17" s="9" customFormat="1" hidden="1" outlineLevel="1" x14ac:dyDescent="0.25">
      <c r="A88" s="23"/>
      <c r="B88" s="10" t="str">
        <f>CONCATENATE("          ","4283", " - ","SALES RETURN TAXABLE-COMPUTER")</f>
        <v xml:space="preserve">          4283 - SALES RETURN TAXABLE-COMPUTER</v>
      </c>
      <c r="C88" s="22"/>
      <c r="D88" s="2">
        <f>-818.93</f>
        <v>-818.93</v>
      </c>
      <c r="E88" s="2">
        <f>-699.9</f>
        <v>-699.9</v>
      </c>
      <c r="F88" s="2">
        <f>-483.9</f>
        <v>-483.9</v>
      </c>
      <c r="G88" s="2">
        <f>-629.58</f>
        <v>-629.58000000000004</v>
      </c>
      <c r="H88" s="2">
        <f>-678.96</f>
        <v>-678.96</v>
      </c>
      <c r="I88" s="2">
        <f>-99.99</f>
        <v>-99.99</v>
      </c>
      <c r="J88" s="2">
        <f>--264.97</f>
        <v>264.97000000000003</v>
      </c>
      <c r="K88" s="2">
        <f>-212.99</f>
        <v>-212.99</v>
      </c>
      <c r="L88" s="2">
        <f>-389.97</f>
        <v>-389.97</v>
      </c>
      <c r="M88" s="2">
        <f>-197.95</f>
        <v>-197.95</v>
      </c>
      <c r="N88" s="2"/>
      <c r="O88" s="2"/>
      <c r="Q88" s="2">
        <f>SUM(OSRRefD11_77x)+IFERROR(SUM(OSRRefE11_77x),0)</f>
        <v>-3947.2</v>
      </c>
    </row>
    <row r="89" spans="1:17" s="9" customFormat="1" hidden="1" outlineLevel="1" x14ac:dyDescent="0.25">
      <c r="A89" s="23"/>
      <c r="B89" s="10" t="str">
        <f>CONCATENATE("          ","4285", " - ","SALES RETURN TAXABLE-SOFTWARE")</f>
        <v xml:space="preserve">          4285 - SALES RETURN TAXABLE-SOFTWARE</v>
      </c>
      <c r="C89" s="22"/>
      <c r="D89" s="2">
        <f t="shared" ref="D89:D91" si="39">0</f>
        <v>0</v>
      </c>
      <c r="E89" s="2">
        <f>0</f>
        <v>0</v>
      </c>
      <c r="F89" s="2">
        <f>-552.98</f>
        <v>-552.98</v>
      </c>
      <c r="G89" s="2">
        <f>0</f>
        <v>0</v>
      </c>
      <c r="H89" s="2">
        <f>-139</f>
        <v>-139</v>
      </c>
      <c r="I89" s="2">
        <f t="shared" ref="I89:J89" si="40">0</f>
        <v>0</v>
      </c>
      <c r="J89" s="2">
        <f t="shared" si="40"/>
        <v>0</v>
      </c>
      <c r="K89" s="2">
        <f t="shared" ref="K89:L89" si="41">-149.99</f>
        <v>-149.99</v>
      </c>
      <c r="L89" s="2">
        <f t="shared" si="41"/>
        <v>-149.99</v>
      </c>
      <c r="M89" s="2">
        <f>-99.83</f>
        <v>-99.83</v>
      </c>
      <c r="N89" s="2"/>
      <c r="O89" s="2"/>
      <c r="Q89" s="2">
        <f>SUM(OSRRefD11_78x)+IFERROR(SUM(OSRRefE11_78x),0)</f>
        <v>-1091.79</v>
      </c>
    </row>
    <row r="90" spans="1:17" s="9" customFormat="1" hidden="1" outlineLevel="1" x14ac:dyDescent="0.25">
      <c r="A90" s="23"/>
      <c r="B90" s="10" t="str">
        <f>CONCATENATE("          ","4286", " - ","SALES RETURN TAXABLE-COMPUTER")</f>
        <v xml:space="preserve">          4286 - SALES RETURN TAXABLE-COMPUTER</v>
      </c>
      <c r="C90" s="22"/>
      <c r="D90" s="2">
        <f t="shared" si="39"/>
        <v>0</v>
      </c>
      <c r="E90" s="2">
        <f>-153.96</f>
        <v>-153.96</v>
      </c>
      <c r="F90" s="2">
        <f>-258.44</f>
        <v>-258.44</v>
      </c>
      <c r="G90" s="2">
        <f>-158.96</f>
        <v>-158.96</v>
      </c>
      <c r="H90" s="2">
        <f>-9.99</f>
        <v>-9.99</v>
      </c>
      <c r="I90" s="2">
        <f>-4127</f>
        <v>-4127</v>
      </c>
      <c r="J90" s="2">
        <f>-18.99</f>
        <v>-18.989999999999998</v>
      </c>
      <c r="K90" s="2">
        <f>-34.97</f>
        <v>-34.97</v>
      </c>
      <c r="L90" s="2">
        <f>-39.98</f>
        <v>-39.979999999999997</v>
      </c>
      <c r="M90" s="2">
        <f>0</f>
        <v>0</v>
      </c>
      <c r="N90" s="2"/>
      <c r="O90" s="2"/>
      <c r="Q90" s="2">
        <f>SUM(OSRRefD11_79x)+IFERROR(SUM(OSRRefE11_79x),0)</f>
        <v>-4802.29</v>
      </c>
    </row>
    <row r="91" spans="1:17" s="9" customFormat="1" hidden="1" outlineLevel="1" x14ac:dyDescent="0.25">
      <c r="A91" s="23"/>
      <c r="B91" s="10" t="str">
        <f>CONCATENATE("          ","4301", " - ","SALES RETURN NON TAXABLE-NEW T")</f>
        <v xml:space="preserve">          4301 - SALES RETURN NON TAXABLE-NEW T</v>
      </c>
      <c r="C91" s="22"/>
      <c r="D91" s="2">
        <f t="shared" si="39"/>
        <v>0</v>
      </c>
      <c r="E91" s="2">
        <f>-20.25</f>
        <v>-20.25</v>
      </c>
      <c r="F91" s="2">
        <f>-1820.43</f>
        <v>-1820.43</v>
      </c>
      <c r="G91" s="2">
        <f>-535.49</f>
        <v>-535.49</v>
      </c>
      <c r="H91" s="2">
        <f>0</f>
        <v>0</v>
      </c>
      <c r="I91" s="2">
        <f>-372.93</f>
        <v>-372.93</v>
      </c>
      <c r="J91" s="2">
        <f>-256.69</f>
        <v>-256.69</v>
      </c>
      <c r="K91" s="2">
        <f>-231.5</f>
        <v>-231.5</v>
      </c>
      <c r="L91" s="2">
        <f>0</f>
        <v>0</v>
      </c>
      <c r="M91" s="2">
        <f>-225.91</f>
        <v>-225.91</v>
      </c>
      <c r="N91" s="2"/>
      <c r="O91" s="2"/>
      <c r="Q91" s="2">
        <f>SUM(OSRRefD11_80x)+IFERROR(SUM(OSRRefE11_80x),0)</f>
        <v>-3463.2</v>
      </c>
    </row>
    <row r="92" spans="1:17" s="9" customFormat="1" hidden="1" outlineLevel="1" x14ac:dyDescent="0.25">
      <c r="A92" s="23"/>
      <c r="B92" s="10" t="str">
        <f>CONCATENATE("          ","4302", " - ","SALES RETURN NON TAXABLE-TEXT")</f>
        <v xml:space="preserve">          4302 - SALES RETURN NON TAXABLE-TEXT</v>
      </c>
      <c r="C92" s="22"/>
      <c r="D92" s="2">
        <f>-63.67</f>
        <v>-63.67</v>
      </c>
      <c r="E92" s="2">
        <f>-346.17</f>
        <v>-346.17</v>
      </c>
      <c r="F92" s="2">
        <f>-737.24</f>
        <v>-737.24</v>
      </c>
      <c r="G92" s="2">
        <f>-169.72</f>
        <v>-169.72</v>
      </c>
      <c r="H92" s="2">
        <f>-76.05</f>
        <v>-76.05</v>
      </c>
      <c r="I92" s="2">
        <f>-77.35</f>
        <v>-77.349999999999994</v>
      </c>
      <c r="J92" s="2">
        <f>-532.96</f>
        <v>-532.96</v>
      </c>
      <c r="K92" s="2">
        <f>-70.32</f>
        <v>-70.319999999999993</v>
      </c>
      <c r="L92" s="2">
        <f>-270.87</f>
        <v>-270.87</v>
      </c>
      <c r="M92" s="2">
        <f>-98.97</f>
        <v>-98.97</v>
      </c>
      <c r="N92" s="2"/>
      <c r="O92" s="2"/>
      <c r="Q92" s="2">
        <f>SUM(OSRRefD11_81x)+IFERROR(SUM(OSRRefE11_81x),0)</f>
        <v>-2443.3199999999997</v>
      </c>
    </row>
    <row r="93" spans="1:17" s="9" customFormat="1" hidden="1" outlineLevel="1" x14ac:dyDescent="0.25">
      <c r="A93" s="23"/>
      <c r="B93" s="10" t="str">
        <f>CONCATENATE("          ","4304", " - ","SALES RETURN NON TAXABLE-DIGIT")</f>
        <v xml:space="preserve">          4304 - SALES RETURN NON TAXABLE-DIGIT</v>
      </c>
      <c r="C93" s="22"/>
      <c r="D93" s="2">
        <f>-452.05</f>
        <v>-452.05</v>
      </c>
      <c r="E93" s="2">
        <f>-5500.68</f>
        <v>-5500.68</v>
      </c>
      <c r="F93" s="2">
        <f>-7456.63</f>
        <v>-7456.63</v>
      </c>
      <c r="G93" s="2">
        <f>-692.75</f>
        <v>-692.75</v>
      </c>
      <c r="H93" s="2">
        <f>-176.43</f>
        <v>-176.43</v>
      </c>
      <c r="I93" s="2">
        <f>-144.23</f>
        <v>-144.22999999999999</v>
      </c>
      <c r="J93" s="2">
        <f>-10673</f>
        <v>-10673</v>
      </c>
      <c r="K93" s="2">
        <f>-2172.95</f>
        <v>-2172.9499999999998</v>
      </c>
      <c r="L93" s="2">
        <f>-275.04</f>
        <v>-275.04000000000002</v>
      </c>
      <c r="M93" s="2">
        <f>0</f>
        <v>0</v>
      </c>
      <c r="N93" s="2"/>
      <c r="O93" s="2"/>
      <c r="Q93" s="2">
        <f>SUM(OSRRefD11_82x)+IFERROR(SUM(OSRRefE11_82x),0)</f>
        <v>-27543.760000000002</v>
      </c>
    </row>
    <row r="94" spans="1:17" s="9" customFormat="1" hidden="1" outlineLevel="1" x14ac:dyDescent="0.25">
      <c r="A94" s="23"/>
      <c r="B94" s="10" t="str">
        <f>CONCATENATE("          ","4340", " - ","SALES RETURN NON TAXABLE-LOGO")</f>
        <v xml:space="preserve">          4340 - SALES RETURN NON TAXABLE-LOGO</v>
      </c>
      <c r="C94" s="22"/>
      <c r="D94" s="2">
        <f>-434.24</f>
        <v>-434.24</v>
      </c>
      <c r="E94" s="2">
        <f>-69.9</f>
        <v>-69.900000000000006</v>
      </c>
      <c r="F94" s="2">
        <f>-36.9</f>
        <v>-36.9</v>
      </c>
      <c r="G94" s="2">
        <f>-195.69</f>
        <v>-195.69</v>
      </c>
      <c r="H94" s="2">
        <f>-203.75</f>
        <v>-203.75</v>
      </c>
      <c r="I94" s="2">
        <f>-543.24</f>
        <v>-543.24</v>
      </c>
      <c r="J94" s="2">
        <f>-732.22</f>
        <v>-732.22</v>
      </c>
      <c r="K94" s="2">
        <f>-76.9</f>
        <v>-76.900000000000006</v>
      </c>
      <c r="L94" s="2">
        <f>-350.55</f>
        <v>-350.55</v>
      </c>
      <c r="M94" s="2">
        <f>-664.13</f>
        <v>-664.13</v>
      </c>
      <c r="N94" s="2"/>
      <c r="O94" s="2"/>
      <c r="Q94" s="2">
        <f>SUM(OSRRefD11_83x)+IFERROR(SUM(OSRRefE11_83x),0)</f>
        <v>-3307.5200000000004</v>
      </c>
    </row>
    <row r="95" spans="1:17" s="9" customFormat="1" hidden="1" outlineLevel="1" x14ac:dyDescent="0.25">
      <c r="A95" s="23"/>
      <c r="B95" s="10" t="str">
        <f>CONCATENATE("          ","4341", " - ","SALES RETURN NON TAXABLE-LOGO")</f>
        <v xml:space="preserve">          4341 - SALES RETURN NON TAXABLE-LOGO</v>
      </c>
      <c r="C95" s="22"/>
      <c r="D95" s="2">
        <f>-16.95</f>
        <v>-16.95</v>
      </c>
      <c r="E95" s="2">
        <f>0</f>
        <v>0</v>
      </c>
      <c r="F95" s="2">
        <f>-129.95</f>
        <v>-129.94999999999999</v>
      </c>
      <c r="G95" s="2">
        <f t="shared" ref="G95:G98" si="42">0</f>
        <v>0</v>
      </c>
      <c r="H95" s="2">
        <f>-154.89</f>
        <v>-154.88999999999999</v>
      </c>
      <c r="I95" s="2">
        <f>-33.85</f>
        <v>-33.85</v>
      </c>
      <c r="J95" s="2">
        <f>-27</f>
        <v>-27</v>
      </c>
      <c r="K95" s="2">
        <f t="shared" ref="K95:K98" si="43">0</f>
        <v>0</v>
      </c>
      <c r="L95" s="2">
        <f>-29.9</f>
        <v>-29.9</v>
      </c>
      <c r="M95" s="2">
        <f>-9.9</f>
        <v>-9.9</v>
      </c>
      <c r="N95" s="2"/>
      <c r="O95" s="2"/>
      <c r="Q95" s="2">
        <f>SUM(OSRRefD11_84x)+IFERROR(SUM(OSRRefE11_84x),0)</f>
        <v>-402.43999999999994</v>
      </c>
    </row>
    <row r="96" spans="1:17" s="9" customFormat="1" hidden="1" outlineLevel="1" x14ac:dyDescent="0.25">
      <c r="A96" s="23"/>
      <c r="B96" s="10" t="str">
        <f>CONCATENATE("          ","4342", " - ","SALES RETURN NON TAXABLE-EVERY")</f>
        <v xml:space="preserve">          4342 - SALES RETURN NON TAXABLE-EVERY</v>
      </c>
      <c r="C96" s="22"/>
      <c r="D96" s="2">
        <f>-79.85</f>
        <v>-79.849999999999994</v>
      </c>
      <c r="E96" s="2">
        <f>-13.9</f>
        <v>-13.9</v>
      </c>
      <c r="F96" s="2">
        <f>-24.95</f>
        <v>-24.95</v>
      </c>
      <c r="G96" s="2">
        <f t="shared" si="42"/>
        <v>0</v>
      </c>
      <c r="H96" s="2">
        <f t="shared" ref="H96:J98" si="44">0</f>
        <v>0</v>
      </c>
      <c r="I96" s="2">
        <f t="shared" si="44"/>
        <v>0</v>
      </c>
      <c r="J96" s="2">
        <f t="shared" si="44"/>
        <v>0</v>
      </c>
      <c r="K96" s="2">
        <f t="shared" si="43"/>
        <v>0</v>
      </c>
      <c r="L96" s="2">
        <f t="shared" ref="L96:L98" si="45">0</f>
        <v>0</v>
      </c>
      <c r="M96" s="2">
        <f t="shared" ref="M96:M97" si="46">0</f>
        <v>0</v>
      </c>
      <c r="N96" s="2"/>
      <c r="O96" s="2"/>
      <c r="Q96" s="2">
        <f>SUM(OSRRefD11_85x)+IFERROR(SUM(OSRRefE11_85x),0)</f>
        <v>-118.7</v>
      </c>
    </row>
    <row r="97" spans="1:17" s="9" customFormat="1" hidden="1" outlineLevel="1" x14ac:dyDescent="0.25">
      <c r="A97" s="23"/>
      <c r="B97" s="10" t="str">
        <f>CONCATENATE("          ","4381", " - ","SALES RETURN NON TAXABLE-ELECT")</f>
        <v xml:space="preserve">          4381 - SALES RETURN NON TAXABLE-ELECT</v>
      </c>
      <c r="C97" s="22"/>
      <c r="D97" s="2">
        <f>-1749</f>
        <v>-1749</v>
      </c>
      <c r="E97" s="2">
        <f>-3625.2</f>
        <v>-3625.2</v>
      </c>
      <c r="F97" s="2">
        <f>-249.95</f>
        <v>-249.95</v>
      </c>
      <c r="G97" s="2">
        <f t="shared" si="42"/>
        <v>0</v>
      </c>
      <c r="H97" s="2">
        <f t="shared" si="44"/>
        <v>0</v>
      </c>
      <c r="I97" s="2">
        <f t="shared" si="44"/>
        <v>0</v>
      </c>
      <c r="J97" s="2">
        <f t="shared" si="44"/>
        <v>0</v>
      </c>
      <c r="K97" s="2">
        <f t="shared" si="43"/>
        <v>0</v>
      </c>
      <c r="L97" s="2">
        <f t="shared" si="45"/>
        <v>0</v>
      </c>
      <c r="M97" s="2">
        <f t="shared" si="46"/>
        <v>0</v>
      </c>
      <c r="N97" s="2"/>
      <c r="O97" s="2"/>
      <c r="Q97" s="2">
        <f>SUM(OSRRefD11_86x)+IFERROR(SUM(OSRRefE11_86x),0)</f>
        <v>-5624.15</v>
      </c>
    </row>
    <row r="98" spans="1:17" s="9" customFormat="1" hidden="1" outlineLevel="1" x14ac:dyDescent="0.25">
      <c r="A98" s="23"/>
      <c r="B98" s="10" t="str">
        <f>CONCATENATE("          ","4383", " - ","SALES RETURN NON TAXABLE-COMPU")</f>
        <v xml:space="preserve">          4383 - SALES RETURN NON TAXABLE-COMPU</v>
      </c>
      <c r="C98" s="22"/>
      <c r="D98" s="2">
        <f t="shared" ref="D98:F98" si="47">0</f>
        <v>0</v>
      </c>
      <c r="E98" s="2">
        <f t="shared" si="47"/>
        <v>0</v>
      </c>
      <c r="F98" s="2">
        <f t="shared" si="47"/>
        <v>0</v>
      </c>
      <c r="G98" s="2">
        <f t="shared" si="42"/>
        <v>0</v>
      </c>
      <c r="H98" s="2">
        <f t="shared" si="44"/>
        <v>0</v>
      </c>
      <c r="I98" s="2">
        <f t="shared" si="44"/>
        <v>0</v>
      </c>
      <c r="J98" s="2">
        <f t="shared" si="44"/>
        <v>0</v>
      </c>
      <c r="K98" s="2">
        <f t="shared" si="43"/>
        <v>0</v>
      </c>
      <c r="L98" s="2">
        <f t="shared" si="45"/>
        <v>0</v>
      </c>
      <c r="M98" s="2">
        <f>-14.99</f>
        <v>-14.99</v>
      </c>
      <c r="N98" s="2"/>
      <c r="O98" s="2"/>
      <c r="Q98" s="2">
        <f>SUM(OSRRefD11_87x)+IFERROR(SUM(OSRRefE11_87x),0)</f>
        <v>-14.99</v>
      </c>
    </row>
    <row r="99" spans="1:17" x14ac:dyDescent="0.25">
      <c r="A99" s="5"/>
      <c r="B99" s="6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24"/>
      <c r="Q99" s="3"/>
    </row>
    <row r="100" spans="1:17" s="9" customFormat="1" collapsed="1" x14ac:dyDescent="0.25">
      <c r="A100" s="23"/>
      <c r="B100" s="16" t="s">
        <v>217</v>
      </c>
      <c r="C100" s="22"/>
      <c r="D100" s="3">
        <f>SUM(OSRRefD14x_0)</f>
        <v>336814.02000000014</v>
      </c>
      <c r="E100" s="3">
        <f>SUM(OSRRefD14x_1)</f>
        <v>1608162.8300000003</v>
      </c>
      <c r="F100" s="3">
        <f>SUM(OSRRefD14x_2)</f>
        <v>538743.32999999996</v>
      </c>
      <c r="G100" s="3">
        <f>SUM(OSRRefD14x_3)</f>
        <v>333634.33</v>
      </c>
      <c r="H100" s="3">
        <f>SUM(OSRRefD14x_4)</f>
        <v>165810.12</v>
      </c>
      <c r="I100" s="3">
        <f>SUM(OSRRefD14x_5)</f>
        <v>246276.64</v>
      </c>
      <c r="J100" s="3">
        <f>SUM(OSRRefD14x_6)</f>
        <v>915207.02999999991</v>
      </c>
      <c r="K100" s="3">
        <f>SUM(OSRRefD14x_7)</f>
        <v>355341.98</v>
      </c>
      <c r="L100" s="3">
        <f>SUM(OSRRefD14x_8)</f>
        <v>492354.00000000006</v>
      </c>
      <c r="M100" s="3">
        <f>SUM(OSRRefD14x_9)</f>
        <v>643578.63</v>
      </c>
      <c r="N100" s="3">
        <f>SUM(OSRRefE14x_0)</f>
        <v>239680</v>
      </c>
      <c r="O100" s="3">
        <f>SUM(OSRRefE14x_1)</f>
        <v>339423</v>
      </c>
      <c r="Q100" s="3">
        <f>SUM(OSRRefG14x)</f>
        <v>6215025.9099999992</v>
      </c>
    </row>
    <row r="101" spans="1:17" s="9" customFormat="1" hidden="1" outlineLevel="1" x14ac:dyDescent="0.25">
      <c r="A101" s="23"/>
      <c r="B101" s="10" t="str">
        <f>CONCATENATE("          ","5000", " - ","PURCHASES @ COST")</f>
        <v xml:space="preserve">          5000 - PURCHASES @ COST</v>
      </c>
      <c r="C101" s="22"/>
      <c r="D101" s="2"/>
      <c r="E101" s="2"/>
      <c r="F101" s="2">
        <v>0</v>
      </c>
      <c r="G101" s="2">
        <v>0</v>
      </c>
      <c r="H101" s="2"/>
      <c r="I101" s="2"/>
      <c r="J101" s="2">
        <v>0</v>
      </c>
      <c r="K101" s="2"/>
      <c r="L101" s="2">
        <v>0</v>
      </c>
      <c r="M101" s="2"/>
      <c r="N101" s="2">
        <v>239680</v>
      </c>
      <c r="O101" s="2">
        <v>339423</v>
      </c>
      <c r="Q101" s="2">
        <f>SUM(OSRRefD14_0x)+IFERROR(SUM(OSRRefE14_0x),0)</f>
        <v>579103</v>
      </c>
    </row>
    <row r="102" spans="1:17" s="9" customFormat="1" hidden="1" outlineLevel="1" x14ac:dyDescent="0.25">
      <c r="A102" s="23"/>
      <c r="B102" s="10" t="str">
        <f>CONCATENATE("          ","5001", " - ","PURCHASES @ COST-NEW TEXT")</f>
        <v xml:space="preserve">          5001 - PURCHASES @ COST-NEW TEXT</v>
      </c>
      <c r="C102" s="22"/>
      <c r="D102" s="2">
        <v>153110.63</v>
      </c>
      <c r="E102" s="2">
        <v>538222.14</v>
      </c>
      <c r="F102" s="2">
        <v>602088.99</v>
      </c>
      <c r="G102" s="2">
        <v>55775.07</v>
      </c>
      <c r="H102" s="2">
        <v>-108601.35</v>
      </c>
      <c r="I102" s="2">
        <v>37317.56</v>
      </c>
      <c r="J102" s="2">
        <v>381096.17</v>
      </c>
      <c r="K102" s="2">
        <v>-332593.57</v>
      </c>
      <c r="L102" s="2">
        <v>-290899.24</v>
      </c>
      <c r="M102" s="2">
        <v>-28969.93</v>
      </c>
      <c r="N102" s="2"/>
      <c r="O102" s="2"/>
      <c r="Q102" s="2">
        <f>SUM(OSRRefD14_1x)+IFERROR(SUM(OSRRefE14_1x),0)</f>
        <v>1006546.4699999999</v>
      </c>
    </row>
    <row r="103" spans="1:17" s="9" customFormat="1" hidden="1" outlineLevel="1" x14ac:dyDescent="0.25">
      <c r="A103" s="23"/>
      <c r="B103" s="10" t="str">
        <f>CONCATENATE("          ","5002", " - ","PURCHASES @ COST-USED TEXT")</f>
        <v xml:space="preserve">          5002 - PURCHASES @ COST-USED TEXT</v>
      </c>
      <c r="C103" s="22"/>
      <c r="D103" s="2">
        <v>60324.85</v>
      </c>
      <c r="E103" s="2">
        <v>128042.67</v>
      </c>
      <c r="F103" s="2">
        <v>108363.86</v>
      </c>
      <c r="G103" s="2">
        <v>6331.95</v>
      </c>
      <c r="H103" s="2">
        <v>-208829.28</v>
      </c>
      <c r="I103" s="2">
        <v>70238.87</v>
      </c>
      <c r="J103" s="2">
        <v>95863.360000000001</v>
      </c>
      <c r="K103" s="2">
        <v>121987.94</v>
      </c>
      <c r="L103" s="2">
        <v>14728.45</v>
      </c>
      <c r="M103" s="2">
        <v>-122091.65</v>
      </c>
      <c r="N103" s="2"/>
      <c r="O103" s="2"/>
      <c r="Q103" s="2">
        <f>SUM(OSRRefD14_2x)+IFERROR(SUM(OSRRefE14_2x),0)</f>
        <v>274961.02</v>
      </c>
    </row>
    <row r="104" spans="1:17" s="9" customFormat="1" hidden="1" outlineLevel="1" x14ac:dyDescent="0.25">
      <c r="A104" s="23"/>
      <c r="B104" s="10" t="str">
        <f>CONCATENATE("          ","5003", " - ","PURCHASES @ COST-RENTAL TEXT")</f>
        <v xml:space="preserve">          5003 - PURCHASES @ COST-RENTAL TEXT</v>
      </c>
      <c r="C104" s="22"/>
      <c r="D104" s="2">
        <v>-11926.64</v>
      </c>
      <c r="E104" s="2">
        <v>58.8</v>
      </c>
      <c r="F104" s="2">
        <v>781.74</v>
      </c>
      <c r="G104" s="2">
        <v>10600.69</v>
      </c>
      <c r="H104" s="2">
        <v>517.92999999999995</v>
      </c>
      <c r="I104" s="2"/>
      <c r="J104" s="2"/>
      <c r="K104" s="2"/>
      <c r="L104" s="2"/>
      <c r="M104" s="2"/>
      <c r="N104" s="2"/>
      <c r="O104" s="2"/>
      <c r="Q104" s="2">
        <f>SUM(OSRRefD14_3x)+IFERROR(SUM(OSRRefE14_3x),0)</f>
        <v>32.520000000000095</v>
      </c>
    </row>
    <row r="105" spans="1:17" s="9" customFormat="1" hidden="1" outlineLevel="1" x14ac:dyDescent="0.25">
      <c r="A105" s="23"/>
      <c r="B105" s="10" t="str">
        <f>CONCATENATE("          ","5004", " - ","PURCHASES @ COST-DIGITAL TEXT")</f>
        <v xml:space="preserve">          5004 - PURCHASES @ COST-DIGITAL TEXT</v>
      </c>
      <c r="C105" s="22"/>
      <c r="D105" s="2">
        <v>4925.4799999999996</v>
      </c>
      <c r="E105" s="2">
        <v>117504.49</v>
      </c>
      <c r="F105" s="2">
        <v>60186.1</v>
      </c>
      <c r="G105" s="2">
        <v>12903.46</v>
      </c>
      <c r="H105" s="2">
        <v>1418.58</v>
      </c>
      <c r="I105" s="2">
        <v>900</v>
      </c>
      <c r="J105" s="2">
        <v>18888.45</v>
      </c>
      <c r="K105" s="2">
        <v>3282.02</v>
      </c>
      <c r="L105" s="2">
        <v>-13446.08</v>
      </c>
      <c r="M105" s="2">
        <v>887.88</v>
      </c>
      <c r="N105" s="2"/>
      <c r="O105" s="2"/>
      <c r="Q105" s="2">
        <f>SUM(OSRRefD14_4x)+IFERROR(SUM(OSRRefE14_4x),0)</f>
        <v>207450.38</v>
      </c>
    </row>
    <row r="106" spans="1:17" s="9" customFormat="1" hidden="1" outlineLevel="1" x14ac:dyDescent="0.25">
      <c r="A106" s="23"/>
      <c r="B106" s="10" t="str">
        <f>CONCATENATE("          ","5011", " - ","PURCHASES @ COST-NO VALUE TEXT")</f>
        <v xml:space="preserve">          5011 - PURCHASES @ COST-NO VALUE TEXT</v>
      </c>
      <c r="C106" s="22"/>
      <c r="D106" s="2"/>
      <c r="E106" s="2"/>
      <c r="F106" s="2"/>
      <c r="G106" s="2">
        <v>67.17</v>
      </c>
      <c r="H106" s="2"/>
      <c r="I106" s="2"/>
      <c r="J106" s="2"/>
      <c r="K106" s="2"/>
      <c r="L106" s="2"/>
      <c r="M106" s="2"/>
      <c r="N106" s="2"/>
      <c r="O106" s="2"/>
      <c r="Q106" s="2">
        <f>SUM(OSRRefD14_5x)+IFERROR(SUM(OSRRefE14_5x),0)</f>
        <v>67.17</v>
      </c>
    </row>
    <row r="107" spans="1:17" s="9" customFormat="1" hidden="1" outlineLevel="1" x14ac:dyDescent="0.25">
      <c r="A107" s="23"/>
      <c r="B107" s="10" t="str">
        <f>CONCATENATE("          ","5013", " - ","PURCHASES @ COST-TRADE BOOKS")</f>
        <v xml:space="preserve">          5013 - PURCHASES @ COST-TRADE BOOKS</v>
      </c>
      <c r="C107" s="22"/>
      <c r="D107" s="2">
        <v>108.54</v>
      </c>
      <c r="E107" s="2"/>
      <c r="F107" s="2">
        <v>-9.36</v>
      </c>
      <c r="G107" s="2">
        <v>1384.46</v>
      </c>
      <c r="H107" s="2">
        <v>611.1</v>
      </c>
      <c r="I107" s="2">
        <v>31.11</v>
      </c>
      <c r="J107" s="2">
        <v>3531.13</v>
      </c>
      <c r="K107" s="2">
        <v>305.11</v>
      </c>
      <c r="L107" s="2">
        <v>2907.93</v>
      </c>
      <c r="M107" s="2">
        <v>800</v>
      </c>
      <c r="N107" s="2"/>
      <c r="O107" s="2"/>
      <c r="Q107" s="2">
        <f>SUM(OSRRefD14_6x)+IFERROR(SUM(OSRRefE14_6x),0)</f>
        <v>9670.02</v>
      </c>
    </row>
    <row r="108" spans="1:17" s="9" customFormat="1" hidden="1" outlineLevel="1" x14ac:dyDescent="0.25">
      <c r="A108" s="23"/>
      <c r="B108" s="10" t="str">
        <f>CONCATENATE("          ","5014", " - ","PURCHASES @ COST-REMAINDERS")</f>
        <v xml:space="preserve">          5014 - PURCHASES @ COST-REMAINDERS</v>
      </c>
      <c r="C108" s="22"/>
      <c r="D108" s="2">
        <v>-12.51</v>
      </c>
      <c r="E108" s="2"/>
      <c r="F108" s="2"/>
      <c r="G108" s="2">
        <v>102.92</v>
      </c>
      <c r="H108" s="2"/>
      <c r="I108" s="2"/>
      <c r="J108" s="2"/>
      <c r="K108" s="2">
        <v>21.16</v>
      </c>
      <c r="L108" s="2"/>
      <c r="M108" s="2"/>
      <c r="N108" s="2"/>
      <c r="O108" s="2"/>
      <c r="Q108" s="2">
        <f>SUM(OSRRefD14_7x)+IFERROR(SUM(OSRRefE14_7x),0)</f>
        <v>111.57</v>
      </c>
    </row>
    <row r="109" spans="1:17" s="9" customFormat="1" hidden="1" outlineLevel="1" x14ac:dyDescent="0.25">
      <c r="A109" s="23"/>
      <c r="B109" s="10" t="str">
        <f>CONCATENATE("          ","5018", " - ","PURCHASES @ COST-STUDY GUIDES")</f>
        <v xml:space="preserve">          5018 - PURCHASES @ COST-STUDY GUIDES</v>
      </c>
      <c r="C109" s="22"/>
      <c r="D109" s="2"/>
      <c r="E109" s="2"/>
      <c r="F109" s="2"/>
      <c r="G109" s="2"/>
      <c r="H109" s="2">
        <v>106.34</v>
      </c>
      <c r="I109" s="2"/>
      <c r="J109" s="2">
        <v>416</v>
      </c>
      <c r="K109" s="2"/>
      <c r="L109" s="2">
        <v>444.87</v>
      </c>
      <c r="M109" s="2"/>
      <c r="N109" s="2"/>
      <c r="O109" s="2"/>
      <c r="Q109" s="2">
        <f>SUM(OSRRefD14_8x)+IFERROR(SUM(OSRRefE14_8x),0)</f>
        <v>967.21</v>
      </c>
    </row>
    <row r="110" spans="1:17" s="9" customFormat="1" hidden="1" outlineLevel="1" x14ac:dyDescent="0.25">
      <c r="A110" s="23"/>
      <c r="B110" s="10" t="str">
        <f>CONCATENATE("          ","5025", " - ","PURCHASES @ COST-TEST FORMS")</f>
        <v xml:space="preserve">          5025 - PURCHASES @ COST-TEST FORMS</v>
      </c>
      <c r="C110" s="22"/>
      <c r="D110" s="2"/>
      <c r="E110" s="2"/>
      <c r="F110" s="2"/>
      <c r="G110" s="2">
        <v>599.29</v>
      </c>
      <c r="H110" s="2"/>
      <c r="I110" s="2"/>
      <c r="J110" s="2"/>
      <c r="K110" s="2"/>
      <c r="L110" s="2"/>
      <c r="M110" s="2"/>
      <c r="N110" s="2"/>
      <c r="O110" s="2"/>
      <c r="Q110" s="2">
        <f>SUM(OSRRefD14_9x)+IFERROR(SUM(OSRRefE14_9x),0)</f>
        <v>599.29</v>
      </c>
    </row>
    <row r="111" spans="1:17" s="9" customFormat="1" hidden="1" outlineLevel="1" x14ac:dyDescent="0.25">
      <c r="A111" s="23"/>
      <c r="B111" s="10" t="str">
        <f>CONCATENATE("          ","5026", " - ","PURCHASES @ COST-WRITING INSTR")</f>
        <v xml:space="preserve">          5026 - PURCHASES @ COST-WRITING INSTR</v>
      </c>
      <c r="C111" s="22"/>
      <c r="D111" s="2"/>
      <c r="E111" s="2"/>
      <c r="F111" s="2"/>
      <c r="G111" s="2">
        <v>380.02</v>
      </c>
      <c r="H111" s="2"/>
      <c r="I111" s="2">
        <v>-5.1100000000000003</v>
      </c>
      <c r="J111" s="2"/>
      <c r="K111" s="2"/>
      <c r="L111" s="2">
        <v>209.64</v>
      </c>
      <c r="M111" s="2"/>
      <c r="N111" s="2"/>
      <c r="O111" s="2"/>
      <c r="Q111" s="2">
        <f>SUM(OSRRefD14_10x)+IFERROR(SUM(OSRRefE14_10x),0)</f>
        <v>584.54999999999995</v>
      </c>
    </row>
    <row r="112" spans="1:17" s="9" customFormat="1" hidden="1" outlineLevel="1" x14ac:dyDescent="0.25">
      <c r="A112" s="23"/>
      <c r="B112" s="10" t="str">
        <f>CONCATENATE("          ","5027", " - ","PURCHASES @ COST-SCHOOL SUPPLI")</f>
        <v xml:space="preserve">          5027 - PURCHASES @ COST-SCHOOL SUPPLI</v>
      </c>
      <c r="C112" s="22"/>
      <c r="D112" s="2">
        <v>8503.4</v>
      </c>
      <c r="E112" s="2"/>
      <c r="F112" s="2"/>
      <c r="G112" s="2">
        <v>10567.95</v>
      </c>
      <c r="H112" s="2"/>
      <c r="I112" s="2"/>
      <c r="J112" s="2"/>
      <c r="K112" s="2"/>
      <c r="L112" s="2">
        <v>2824.53</v>
      </c>
      <c r="M112" s="2">
        <v>1838.72</v>
      </c>
      <c r="N112" s="2"/>
      <c r="O112" s="2"/>
      <c r="Q112" s="2">
        <f>SUM(OSRRefD14_11x)+IFERROR(SUM(OSRRefE14_11x),0)</f>
        <v>23734.6</v>
      </c>
    </row>
    <row r="113" spans="1:17" s="9" customFormat="1" hidden="1" outlineLevel="1" x14ac:dyDescent="0.25">
      <c r="A113" s="23"/>
      <c r="B113" s="10" t="str">
        <f>CONCATENATE("          ","5028", " - ","PURCHASES @ COST-ART/TECH")</f>
        <v xml:space="preserve">          5028 - PURCHASES @ COST-ART/TECH</v>
      </c>
      <c r="C113" s="22"/>
      <c r="D113" s="2"/>
      <c r="E113" s="2"/>
      <c r="F113" s="2">
        <v>-83.4</v>
      </c>
      <c r="G113" s="2">
        <v>41425.96</v>
      </c>
      <c r="H113" s="2">
        <v>15.89</v>
      </c>
      <c r="I113" s="2"/>
      <c r="J113" s="2"/>
      <c r="K113" s="2">
        <v>833.13</v>
      </c>
      <c r="L113" s="2">
        <v>3443.78</v>
      </c>
      <c r="M113" s="2">
        <v>1371.26</v>
      </c>
      <c r="N113" s="2"/>
      <c r="O113" s="2"/>
      <c r="Q113" s="2">
        <f>SUM(OSRRefD14_12x)+IFERROR(SUM(OSRRefE14_12x),0)</f>
        <v>47006.619999999995</v>
      </c>
    </row>
    <row r="114" spans="1:17" s="9" customFormat="1" hidden="1" outlineLevel="1" x14ac:dyDescent="0.25">
      <c r="A114" s="23"/>
      <c r="B114" s="10" t="str">
        <f>CONCATENATE("          ","5031", " - ","PURCHASES @ COST-FOOD")</f>
        <v xml:space="preserve">          5031 - PURCHASES @ COST-FOOD</v>
      </c>
      <c r="C114" s="22"/>
      <c r="D114" s="2"/>
      <c r="E114" s="2">
        <v>0</v>
      </c>
      <c r="F114" s="2">
        <v>4065.92</v>
      </c>
      <c r="G114" s="2">
        <v>4469.18</v>
      </c>
      <c r="H114" s="2"/>
      <c r="I114" s="2">
        <v>-1260</v>
      </c>
      <c r="J114" s="2">
        <v>239.16</v>
      </c>
      <c r="K114" s="2">
        <v>271.45999999999998</v>
      </c>
      <c r="L114" s="2"/>
      <c r="M114" s="2"/>
      <c r="N114" s="2"/>
      <c r="O114" s="2"/>
      <c r="Q114" s="2">
        <f>SUM(OSRRefD14_13x)+IFERROR(SUM(OSRRefE14_13x),0)</f>
        <v>7785.72</v>
      </c>
    </row>
    <row r="115" spans="1:17" s="9" customFormat="1" hidden="1" outlineLevel="1" x14ac:dyDescent="0.25">
      <c r="A115" s="23"/>
      <c r="B115" s="10" t="str">
        <f>CONCATENATE("          ","5040", " - ","PURCHASES @ COST-LOGO CLOTHING")</f>
        <v xml:space="preserve">          5040 - PURCHASES @ COST-LOGO CLOTHING</v>
      </c>
      <c r="C115" s="22"/>
      <c r="D115" s="2">
        <v>1723.07</v>
      </c>
      <c r="E115" s="2">
        <v>7628.83</v>
      </c>
      <c r="F115" s="2">
        <v>4398.1499999999996</v>
      </c>
      <c r="G115" s="2">
        <v>25420.9</v>
      </c>
      <c r="H115" s="2">
        <v>55124.33</v>
      </c>
      <c r="I115" s="2">
        <v>38175.120000000003</v>
      </c>
      <c r="J115" s="2">
        <v>34900.79</v>
      </c>
      <c r="K115" s="2">
        <v>26599.9</v>
      </c>
      <c r="L115" s="2">
        <v>45900.51</v>
      </c>
      <c r="M115" s="2">
        <v>39218.65</v>
      </c>
      <c r="N115" s="2"/>
      <c r="O115" s="2"/>
      <c r="Q115" s="2">
        <f>SUM(OSRRefD14_14x)+IFERROR(SUM(OSRRefE14_14x),0)</f>
        <v>279090.25</v>
      </c>
    </row>
    <row r="116" spans="1:17" s="9" customFormat="1" hidden="1" outlineLevel="1" x14ac:dyDescent="0.25">
      <c r="A116" s="23"/>
      <c r="B116" s="10" t="str">
        <f>CONCATENATE("          ","5041", " - ","PURCHASES @ COST-LOGO GIFTS")</f>
        <v xml:space="preserve">          5041 - PURCHASES @ COST-LOGO GIFTS</v>
      </c>
      <c r="C116" s="22"/>
      <c r="D116" s="2">
        <v>-713.75</v>
      </c>
      <c r="E116" s="2">
        <v>1843.29</v>
      </c>
      <c r="F116" s="2">
        <v>868</v>
      </c>
      <c r="G116" s="2">
        <v>15289.8</v>
      </c>
      <c r="H116" s="2">
        <v>9354.43</v>
      </c>
      <c r="I116" s="2">
        <v>5559.99</v>
      </c>
      <c r="J116" s="2">
        <v>8769.24</v>
      </c>
      <c r="K116" s="2">
        <v>26592.81</v>
      </c>
      <c r="L116" s="2">
        <v>899.63</v>
      </c>
      <c r="M116" s="2">
        <v>15798.51</v>
      </c>
      <c r="N116" s="2"/>
      <c r="O116" s="2"/>
      <c r="Q116" s="2">
        <f>SUM(OSRRefD14_15x)+IFERROR(SUM(OSRRefE14_15x),0)</f>
        <v>84261.95</v>
      </c>
    </row>
    <row r="117" spans="1:17" s="9" customFormat="1" hidden="1" outlineLevel="1" x14ac:dyDescent="0.25">
      <c r="A117" s="23"/>
      <c r="B117" s="10" t="str">
        <f>CONCATENATE("          ","5042", " - ","PURCHASES @ COST-EVERYDAY GIFT")</f>
        <v xml:space="preserve">          5042 - PURCHASES @ COST-EVERYDAY GIFT</v>
      </c>
      <c r="C117" s="22"/>
      <c r="D117" s="2">
        <v>236.16</v>
      </c>
      <c r="E117" s="2">
        <v>732.99</v>
      </c>
      <c r="F117" s="2">
        <v>522</v>
      </c>
      <c r="G117" s="2">
        <v>9421.5300000000007</v>
      </c>
      <c r="H117" s="2"/>
      <c r="I117" s="2">
        <v>148.6</v>
      </c>
      <c r="J117" s="2">
        <v>6760.7</v>
      </c>
      <c r="K117" s="2">
        <v>1196.2</v>
      </c>
      <c r="L117" s="2">
        <v>-270</v>
      </c>
      <c r="M117" s="2"/>
      <c r="N117" s="2"/>
      <c r="O117" s="2"/>
      <c r="Q117" s="2">
        <f>SUM(OSRRefD14_16x)+IFERROR(SUM(OSRRefE14_16x),0)</f>
        <v>18748.18</v>
      </c>
    </row>
    <row r="118" spans="1:17" s="9" customFormat="1" hidden="1" outlineLevel="1" x14ac:dyDescent="0.25">
      <c r="A118" s="23"/>
      <c r="B118" s="10" t="str">
        <f>CONCATENATE("          ","5043", " - ","PURCHASES @ COST-CARDS")</f>
        <v xml:space="preserve">          5043 - PURCHASES @ COST-CARDS</v>
      </c>
      <c r="C118" s="22"/>
      <c r="D118" s="2">
        <v>308.7</v>
      </c>
      <c r="E118" s="2">
        <v>1406.55</v>
      </c>
      <c r="F118" s="2">
        <v>1401</v>
      </c>
      <c r="G118" s="2">
        <v>2526.75</v>
      </c>
      <c r="H118" s="2">
        <v>38530.230000000003</v>
      </c>
      <c r="I118" s="2">
        <v>2448</v>
      </c>
      <c r="J118" s="2">
        <v>8743.1</v>
      </c>
      <c r="K118" s="2"/>
      <c r="L118" s="2"/>
      <c r="M118" s="2">
        <v>41</v>
      </c>
      <c r="N118" s="2"/>
      <c r="O118" s="2"/>
      <c r="Q118" s="2">
        <f>SUM(OSRRefD14_17x)+IFERROR(SUM(OSRRefE14_17x),0)</f>
        <v>55405.33</v>
      </c>
    </row>
    <row r="119" spans="1:17" s="9" customFormat="1" hidden="1" outlineLevel="1" x14ac:dyDescent="0.25">
      <c r="A119" s="23"/>
      <c r="B119" s="10" t="str">
        <f>CONCATENATE("          ","5044", " - ","PURCHASES @ COST-ACCESSORIES")</f>
        <v xml:space="preserve">          5044 - PURCHASES @ COST-ACCESSORIES</v>
      </c>
      <c r="C119" s="22"/>
      <c r="D119" s="2"/>
      <c r="E119" s="2"/>
      <c r="F119" s="2"/>
      <c r="G119" s="2"/>
      <c r="H119" s="2">
        <v>282.33</v>
      </c>
      <c r="I119" s="2"/>
      <c r="J119" s="2">
        <v>782.5</v>
      </c>
      <c r="K119" s="2"/>
      <c r="L119" s="2"/>
      <c r="M119" s="2">
        <v>1490.88</v>
      </c>
      <c r="N119" s="2"/>
      <c r="O119" s="2"/>
      <c r="Q119" s="2">
        <f>SUM(OSRRefD14_18x)+IFERROR(SUM(OSRRefE14_18x),0)</f>
        <v>2555.71</v>
      </c>
    </row>
    <row r="120" spans="1:17" s="9" customFormat="1" hidden="1" outlineLevel="1" x14ac:dyDescent="0.25">
      <c r="A120" s="23"/>
      <c r="B120" s="10" t="str">
        <f>CONCATENATE("          ","5045", " - ","PURCHASES @ COST-SPECIAL ORDER")</f>
        <v xml:space="preserve">          5045 - PURCHASES @ COST-SPECIAL ORDER</v>
      </c>
      <c r="C120" s="22"/>
      <c r="D120" s="2">
        <v>2756.21</v>
      </c>
      <c r="E120" s="2">
        <v>5633.96</v>
      </c>
      <c r="F120" s="2">
        <v>52784.12</v>
      </c>
      <c r="G120" s="2">
        <v>10080.23</v>
      </c>
      <c r="H120" s="2">
        <v>5678</v>
      </c>
      <c r="I120" s="2">
        <v>10676.48</v>
      </c>
      <c r="J120" s="2">
        <v>5855.38</v>
      </c>
      <c r="K120" s="2">
        <v>1909.13</v>
      </c>
      <c r="L120" s="2">
        <v>13853.18</v>
      </c>
      <c r="M120" s="2">
        <v>5771.38</v>
      </c>
      <c r="N120" s="2"/>
      <c r="O120" s="2"/>
      <c r="Q120" s="2">
        <f>SUM(OSRRefD14_19x)+IFERROR(SUM(OSRRefE14_19x),0)</f>
        <v>114998.07</v>
      </c>
    </row>
    <row r="121" spans="1:17" s="9" customFormat="1" hidden="1" outlineLevel="1" x14ac:dyDescent="0.25">
      <c r="A121" s="23"/>
      <c r="B121" s="10" t="str">
        <f>CONCATENATE("          ","5053", " - ","PURCHASES @ COST-FOOD")</f>
        <v xml:space="preserve">          5053 - PURCHASES @ COST-FOOD</v>
      </c>
      <c r="C121" s="22"/>
      <c r="D121" s="2">
        <v>8053.75</v>
      </c>
      <c r="E121" s="2">
        <v>78417.86</v>
      </c>
      <c r="F121" s="2">
        <v>41608.75</v>
      </c>
      <c r="G121" s="2">
        <v>64600.93</v>
      </c>
      <c r="H121" s="2">
        <v>39551.18</v>
      </c>
      <c r="I121" s="2">
        <v>34840.239999999998</v>
      </c>
      <c r="J121" s="2">
        <v>30627.69</v>
      </c>
      <c r="K121" s="2">
        <v>44580.84</v>
      </c>
      <c r="L121" s="2">
        <v>32724.15</v>
      </c>
      <c r="M121" s="2">
        <v>50330.63</v>
      </c>
      <c r="N121" s="2"/>
      <c r="O121" s="2"/>
      <c r="Q121" s="2">
        <f>SUM(OSRRefD14_20x)+IFERROR(SUM(OSRRefE14_20x),0)</f>
        <v>425336.02</v>
      </c>
    </row>
    <row r="122" spans="1:17" s="9" customFormat="1" hidden="1" outlineLevel="1" x14ac:dyDescent="0.25">
      <c r="A122" s="23"/>
      <c r="B122" s="10" t="str">
        <f>CONCATENATE("          ","5059", " - ","PURCHASES @ COST-FOOD")</f>
        <v xml:space="preserve">          5059 - PURCHASES @ COST-FOOD</v>
      </c>
      <c r="C122" s="22"/>
      <c r="D122" s="2">
        <v>3409</v>
      </c>
      <c r="E122" s="2">
        <v>-30142.09</v>
      </c>
      <c r="F122" s="2">
        <v>3861.48</v>
      </c>
      <c r="G122" s="2">
        <v>25839.9</v>
      </c>
      <c r="H122" s="2">
        <v>4551</v>
      </c>
      <c r="I122" s="2">
        <v>4259</v>
      </c>
      <c r="J122" s="2">
        <v>2417</v>
      </c>
      <c r="K122" s="2">
        <v>12491</v>
      </c>
      <c r="L122" s="2">
        <v>5155</v>
      </c>
      <c r="M122" s="2">
        <v>653.01</v>
      </c>
      <c r="N122" s="2"/>
      <c r="O122" s="2"/>
      <c r="Q122" s="2">
        <f>SUM(OSRRefD14_21x)+IFERROR(SUM(OSRRefE14_21x),0)</f>
        <v>32494.3</v>
      </c>
    </row>
    <row r="123" spans="1:17" s="9" customFormat="1" hidden="1" outlineLevel="1" x14ac:dyDescent="0.25">
      <c r="A123" s="23"/>
      <c r="B123" s="10" t="str">
        <f>CONCATENATE("          ","5081", " - ","PURCHASES @ COST-ELECTRONICS")</f>
        <v xml:space="preserve">          5081 - PURCHASES @ COST-ELECTRONICS</v>
      </c>
      <c r="C123" s="22"/>
      <c r="D123" s="2">
        <v>6676.92</v>
      </c>
      <c r="E123" s="2">
        <v>745.55</v>
      </c>
      <c r="F123" s="2">
        <v>8274.98</v>
      </c>
      <c r="G123" s="2">
        <v>6249.76</v>
      </c>
      <c r="H123" s="2">
        <v>2367.86</v>
      </c>
      <c r="I123" s="2">
        <v>945.44</v>
      </c>
      <c r="J123" s="2">
        <v>313.26</v>
      </c>
      <c r="K123" s="2">
        <v>6584.13</v>
      </c>
      <c r="L123" s="2">
        <v>309.97000000000003</v>
      </c>
      <c r="M123" s="2">
        <v>-19.5</v>
      </c>
      <c r="N123" s="2"/>
      <c r="O123" s="2"/>
      <c r="Q123" s="2">
        <f>SUM(OSRRefD14_22x)+IFERROR(SUM(OSRRefE14_22x),0)</f>
        <v>32448.37</v>
      </c>
    </row>
    <row r="124" spans="1:17" s="9" customFormat="1" hidden="1" outlineLevel="1" x14ac:dyDescent="0.25">
      <c r="A124" s="23"/>
      <c r="B124" s="10" t="str">
        <f>CONCATENATE("          ","5082", " - ","PURCHASES @ COST-COMPUTER HARD")</f>
        <v xml:space="preserve">          5082 - PURCHASES @ COST-COMPUTER HARD</v>
      </c>
      <c r="C124" s="22"/>
      <c r="D124" s="2">
        <v>186472.57</v>
      </c>
      <c r="E124" s="2">
        <v>56751.23</v>
      </c>
      <c r="F124" s="2">
        <v>470149.41</v>
      </c>
      <c r="G124" s="2">
        <v>175404.87</v>
      </c>
      <c r="H124" s="2">
        <v>71242.03</v>
      </c>
      <c r="I124" s="2">
        <v>20916.71</v>
      </c>
      <c r="J124" s="2">
        <v>98264.71</v>
      </c>
      <c r="K124" s="2">
        <v>184376.31</v>
      </c>
      <c r="L124" s="2">
        <v>132715.92000000001</v>
      </c>
      <c r="M124" s="2">
        <v>277047.03999999998</v>
      </c>
      <c r="N124" s="2"/>
      <c r="O124" s="2"/>
      <c r="Q124" s="2">
        <f>SUM(OSRRefD14_23x)+IFERROR(SUM(OSRRefE14_23x),0)</f>
        <v>1673340.8</v>
      </c>
    </row>
    <row r="125" spans="1:17" s="9" customFormat="1" hidden="1" outlineLevel="1" x14ac:dyDescent="0.25">
      <c r="A125" s="23"/>
      <c r="B125" s="10" t="str">
        <f>CONCATENATE("          ","5083", " - ","PURCHASES @ COST-COMPUTER EQUI")</f>
        <v xml:space="preserve">          5083 - PURCHASES @ COST-COMPUTER EQUI</v>
      </c>
      <c r="C125" s="22"/>
      <c r="D125" s="2">
        <v>29938.3</v>
      </c>
      <c r="E125" s="2">
        <v>7340.55</v>
      </c>
      <c r="F125" s="2">
        <v>24155.15</v>
      </c>
      <c r="G125" s="2">
        <v>11838.95</v>
      </c>
      <c r="H125" s="2">
        <v>2620.17</v>
      </c>
      <c r="I125" s="2">
        <v>5833.72</v>
      </c>
      <c r="J125" s="2">
        <v>8829.83</v>
      </c>
      <c r="K125" s="2">
        <v>8631.6</v>
      </c>
      <c r="L125" s="2">
        <v>6015.06</v>
      </c>
      <c r="M125" s="2">
        <v>14312.16</v>
      </c>
      <c r="N125" s="2"/>
      <c r="O125" s="2"/>
      <c r="Q125" s="2">
        <f>SUM(OSRRefD14_24x)+IFERROR(SUM(OSRRefE14_24x),0)</f>
        <v>119515.49</v>
      </c>
    </row>
    <row r="126" spans="1:17" s="9" customFormat="1" hidden="1" outlineLevel="1" x14ac:dyDescent="0.25">
      <c r="A126" s="23"/>
      <c r="B126" s="10" t="str">
        <f>CONCATENATE("          ","5085", " - ","PURCHASES @ COST-SOFTWARE")</f>
        <v xml:space="preserve">          5085 - PURCHASES @ COST-SOFTWARE</v>
      </c>
      <c r="C126" s="22"/>
      <c r="D126" s="2">
        <v>3864.34</v>
      </c>
      <c r="E126" s="2">
        <v>2364.2199999999998</v>
      </c>
      <c r="F126" s="2">
        <v>8609.1200000000008</v>
      </c>
      <c r="G126" s="2">
        <v>5843.52</v>
      </c>
      <c r="H126" s="2">
        <v>3394.72</v>
      </c>
      <c r="I126" s="2">
        <v>496.16</v>
      </c>
      <c r="J126" s="2">
        <v>4174.1400000000003</v>
      </c>
      <c r="K126" s="2">
        <v>1399.23</v>
      </c>
      <c r="L126" s="2">
        <v>3753.26</v>
      </c>
      <c r="M126" s="2">
        <v>4012.17</v>
      </c>
      <c r="N126" s="2"/>
      <c r="O126" s="2"/>
      <c r="Q126" s="2">
        <f>SUM(OSRRefD14_25x)+IFERROR(SUM(OSRRefE14_25x),0)</f>
        <v>37910.879999999997</v>
      </c>
    </row>
    <row r="127" spans="1:17" s="9" customFormat="1" hidden="1" outlineLevel="1" x14ac:dyDescent="0.25">
      <c r="A127" s="23"/>
      <c r="B127" s="10" t="str">
        <f>CONCATENATE("          ","5086", " - ","PURCHASES @ COST-COMPUTER SUPP")</f>
        <v xml:space="preserve">          5086 - PURCHASES @ COST-COMPUTER SUPP</v>
      </c>
      <c r="C127" s="22"/>
      <c r="D127" s="2">
        <v>87.25</v>
      </c>
      <c r="E127" s="2">
        <v>21649.96</v>
      </c>
      <c r="F127" s="2">
        <v>18.760000000000002</v>
      </c>
      <c r="G127" s="2">
        <v>773.47</v>
      </c>
      <c r="H127" s="2">
        <v>189.17</v>
      </c>
      <c r="I127" s="2"/>
      <c r="J127" s="2">
        <v>21.24</v>
      </c>
      <c r="K127" s="2">
        <v>398.64</v>
      </c>
      <c r="L127" s="2">
        <v>525.71</v>
      </c>
      <c r="M127" s="2">
        <v>28.4</v>
      </c>
      <c r="N127" s="2"/>
      <c r="O127" s="2"/>
      <c r="Q127" s="2">
        <f>SUM(OSRRefD14_26x)+IFERROR(SUM(OSRRefE14_26x),0)</f>
        <v>23692.6</v>
      </c>
    </row>
    <row r="128" spans="1:17" s="9" customFormat="1" hidden="1" outlineLevel="1" x14ac:dyDescent="0.25">
      <c r="A128" s="23"/>
      <c r="B128" s="10" t="str">
        <f>CONCATENATE("          ","5092", " - ","PURCHASES @ COST-GRAD MERCH")</f>
        <v xml:space="preserve">          5092 - PURCHASES @ COST-GRAD MERCH</v>
      </c>
      <c r="C128" s="22"/>
      <c r="D128" s="2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Q128" s="2">
        <f>SUM(OSRRefD14_27x)+IFERROR(SUM(OSRRefE14_27x),0)</f>
        <v>0</v>
      </c>
    </row>
    <row r="129" spans="1:17" s="9" customFormat="1" hidden="1" outlineLevel="1" x14ac:dyDescent="0.25">
      <c r="A129" s="23"/>
      <c r="B129" s="10" t="str">
        <f>CONCATENATE("          ","5200", " - ","PURCHASES OFFSET")</f>
        <v xml:space="preserve">          5200 - PURCHASES OFFSET</v>
      </c>
      <c r="C129" s="22"/>
      <c r="D129" s="2">
        <v>-442822.05</v>
      </c>
      <c r="E129" s="2">
        <v>-586112.93000000005</v>
      </c>
      <c r="F129" s="2">
        <v>-1333358.52</v>
      </c>
      <c r="G129" s="2">
        <v>-434415.86</v>
      </c>
      <c r="H129" s="2">
        <v>120893.8</v>
      </c>
      <c r="I129" s="2">
        <v>-200857.41</v>
      </c>
      <c r="J129" s="2">
        <v>-502374.21</v>
      </c>
      <c r="K129" s="2">
        <v>-46641.74</v>
      </c>
      <c r="L129" s="2">
        <v>73739.19</v>
      </c>
      <c r="M129" s="2">
        <v>-216816.48</v>
      </c>
      <c r="N129" s="2"/>
      <c r="O129" s="2"/>
      <c r="Q129" s="2">
        <f>SUM(OSRRefD14_28x)+IFERROR(SUM(OSRRefE14_28x),0)</f>
        <v>-3568766.2100000004</v>
      </c>
    </row>
    <row r="130" spans="1:17" s="9" customFormat="1" hidden="1" outlineLevel="1" x14ac:dyDescent="0.25">
      <c r="A130" s="23"/>
      <c r="B130" s="10" t="str">
        <f>CONCATENATE("          ","5300", " - ","COG$ OFFSET")</f>
        <v xml:space="preserve">          5300 - COG$ OFFSET</v>
      </c>
      <c r="C130" s="22"/>
      <c r="D130" s="2">
        <v>319584</v>
      </c>
      <c r="E130" s="2">
        <v>1248893</v>
      </c>
      <c r="F130" s="2">
        <v>466553</v>
      </c>
      <c r="G130" s="2">
        <v>241934</v>
      </c>
      <c r="H130" s="2">
        <v>117369</v>
      </c>
      <c r="I130" s="2">
        <v>208821</v>
      </c>
      <c r="J130" s="2">
        <v>695026</v>
      </c>
      <c r="K130" s="2">
        <v>286283</v>
      </c>
      <c r="L130" s="2">
        <v>453621</v>
      </c>
      <c r="M130" s="2">
        <v>592301</v>
      </c>
      <c r="N130" s="2"/>
      <c r="O130" s="2"/>
      <c r="Q130" s="2">
        <f>SUM(OSRRefD14_29x)+IFERROR(SUM(OSRRefE14_29x),0)</f>
        <v>4630385</v>
      </c>
    </row>
    <row r="131" spans="1:17" s="9" customFormat="1" hidden="1" outlineLevel="1" x14ac:dyDescent="0.25">
      <c r="A131" s="23"/>
      <c r="B131" s="10" t="str">
        <f>CONCATENATE("          ","5500", " - ","FREIGHT-IN")</f>
        <v xml:space="preserve">          5500 - FREIGHT-IN</v>
      </c>
      <c r="C131" s="22"/>
      <c r="D131" s="2">
        <v>0</v>
      </c>
      <c r="E131" s="2">
        <v>0</v>
      </c>
      <c r="F131" s="2">
        <v>0</v>
      </c>
      <c r="G131" s="2"/>
      <c r="H131" s="2"/>
      <c r="I131" s="2">
        <v>0</v>
      </c>
      <c r="J131" s="2">
        <v>0</v>
      </c>
      <c r="K131" s="2">
        <v>0</v>
      </c>
      <c r="L131" s="2"/>
      <c r="M131" s="2"/>
      <c r="N131" s="2"/>
      <c r="O131" s="2"/>
      <c r="Q131" s="2">
        <f>SUM(OSRRefD14_30x)+IFERROR(SUM(OSRRefE14_30x),0)</f>
        <v>0</v>
      </c>
    </row>
    <row r="132" spans="1:17" s="9" customFormat="1" hidden="1" outlineLevel="1" x14ac:dyDescent="0.25">
      <c r="A132" s="23"/>
      <c r="B132" s="10" t="str">
        <f>CONCATENATE("          ","5501", " - ","FREIGHT-IN-NEW TEXT")</f>
        <v xml:space="preserve">          5501 - FREIGHT-IN-NEW TEXT</v>
      </c>
      <c r="C132" s="22"/>
      <c r="D132" s="2">
        <v>802.72</v>
      </c>
      <c r="E132" s="2">
        <v>4680.5600000000004</v>
      </c>
      <c r="F132" s="2">
        <v>5279.6</v>
      </c>
      <c r="G132" s="2">
        <v>23295.74</v>
      </c>
      <c r="H132" s="2">
        <v>990.19</v>
      </c>
      <c r="I132" s="2">
        <v>2414.77</v>
      </c>
      <c r="J132" s="2">
        <v>7155.21</v>
      </c>
      <c r="K132" s="2">
        <v>4638.13</v>
      </c>
      <c r="L132" s="2">
        <v>785.54</v>
      </c>
      <c r="M132" s="2">
        <v>271.27</v>
      </c>
      <c r="N132" s="2"/>
      <c r="O132" s="2"/>
      <c r="Q132" s="2">
        <f>SUM(OSRRefD14_31x)+IFERROR(SUM(OSRRefE14_31x),0)</f>
        <v>50313.729999999996</v>
      </c>
    </row>
    <row r="133" spans="1:17" s="9" customFormat="1" hidden="1" outlineLevel="1" x14ac:dyDescent="0.25">
      <c r="A133" s="23"/>
      <c r="B133" s="10" t="str">
        <f>CONCATENATE("          ","5502", " - ","FREIGHT-IN-USED TEXT")</f>
        <v xml:space="preserve">          5502 - FREIGHT-IN-USED TEXT</v>
      </c>
      <c r="C133" s="22"/>
      <c r="D133" s="2">
        <v>47.89</v>
      </c>
      <c r="E133" s="2">
        <v>1186.6600000000001</v>
      </c>
      <c r="F133" s="2">
        <v>7276.27</v>
      </c>
      <c r="G133" s="2">
        <v>2233.9</v>
      </c>
      <c r="H133" s="2">
        <v>388.37</v>
      </c>
      <c r="I133" s="2">
        <v>2389.48</v>
      </c>
      <c r="J133" s="2">
        <v>2129.7399999999998</v>
      </c>
      <c r="K133" s="2">
        <v>1484.45</v>
      </c>
      <c r="L133" s="2">
        <v>663.37</v>
      </c>
      <c r="M133" s="2">
        <v>58.77</v>
      </c>
      <c r="N133" s="2"/>
      <c r="O133" s="2"/>
      <c r="Q133" s="2">
        <f>SUM(OSRRefD14_32x)+IFERROR(SUM(OSRRefE14_32x),0)</f>
        <v>17858.899999999998</v>
      </c>
    </row>
    <row r="134" spans="1:17" s="9" customFormat="1" hidden="1" outlineLevel="1" x14ac:dyDescent="0.25">
      <c r="A134" s="23"/>
      <c r="B134" s="10" t="str">
        <f>CONCATENATE("          ","5504", " - ","FREIGHT-IN-DIGITAL TEXT")</f>
        <v xml:space="preserve">          5504 - FREIGHT-IN-DIGITAL TEXT</v>
      </c>
      <c r="C134" s="22"/>
      <c r="D134" s="2"/>
      <c r="E134" s="2"/>
      <c r="F134" s="2">
        <v>10.99</v>
      </c>
      <c r="G134" s="2">
        <v>10.99</v>
      </c>
      <c r="H134" s="2"/>
      <c r="I134" s="2"/>
      <c r="J134" s="2"/>
      <c r="K134" s="2">
        <v>6.94</v>
      </c>
      <c r="L134" s="2"/>
      <c r="M134" s="2"/>
      <c r="N134" s="2"/>
      <c r="O134" s="2"/>
      <c r="Q134" s="2">
        <f>SUM(OSRRefD14_33x)+IFERROR(SUM(OSRRefE14_33x),0)</f>
        <v>28.92</v>
      </c>
    </row>
    <row r="135" spans="1:17" s="9" customFormat="1" hidden="1" outlineLevel="1" x14ac:dyDescent="0.25">
      <c r="A135" s="23"/>
      <c r="B135" s="10" t="str">
        <f>CONCATENATE("          ","5513", " - ","FREIGHT-IN-TRADE BOOKS")</f>
        <v xml:space="preserve">          5513 - FREIGHT-IN-TRADE BOOKS</v>
      </c>
      <c r="C135" s="22"/>
      <c r="D135" s="2"/>
      <c r="E135" s="2"/>
      <c r="F135" s="2"/>
      <c r="G135" s="2"/>
      <c r="H135" s="2">
        <v>26.46</v>
      </c>
      <c r="I135" s="2"/>
      <c r="J135" s="2">
        <v>7.06</v>
      </c>
      <c r="K135" s="2"/>
      <c r="L135" s="2">
        <v>51.76</v>
      </c>
      <c r="M135" s="2"/>
      <c r="N135" s="2"/>
      <c r="O135" s="2"/>
      <c r="Q135" s="2">
        <f>SUM(OSRRefD14_34x)+IFERROR(SUM(OSRRefE14_34x),0)</f>
        <v>85.28</v>
      </c>
    </row>
    <row r="136" spans="1:17" s="9" customFormat="1" hidden="1" outlineLevel="1" x14ac:dyDescent="0.25">
      <c r="A136" s="23"/>
      <c r="B136" s="10" t="str">
        <f>CONCATENATE("          ","5525", " - ","FREIGHT-IN-TEST FORMS")</f>
        <v xml:space="preserve">          5525 - FREIGHT-IN-TEST FORMS</v>
      </c>
      <c r="C136" s="22"/>
      <c r="D136" s="2"/>
      <c r="E136" s="2"/>
      <c r="F136" s="2"/>
      <c r="G136" s="2">
        <v>48.14</v>
      </c>
      <c r="H136" s="2"/>
      <c r="I136" s="2"/>
      <c r="J136" s="2"/>
      <c r="K136" s="2"/>
      <c r="L136" s="2"/>
      <c r="M136" s="2"/>
      <c r="N136" s="2"/>
      <c r="O136" s="2"/>
      <c r="Q136" s="2">
        <f>SUM(OSRRefD14_35x)+IFERROR(SUM(OSRRefE14_35x),0)</f>
        <v>48.14</v>
      </c>
    </row>
    <row r="137" spans="1:17" s="9" customFormat="1" hidden="1" outlineLevel="1" x14ac:dyDescent="0.25">
      <c r="A137" s="23"/>
      <c r="B137" s="10" t="str">
        <f>CONCATENATE("          ","5526", " - ","FREIGHT-IN-WRITING INSTRUMENTS")</f>
        <v xml:space="preserve">          5526 - FREIGHT-IN-WRITING INSTRUMENTS</v>
      </c>
      <c r="C137" s="22"/>
      <c r="D137" s="2"/>
      <c r="E137" s="2"/>
      <c r="F137" s="2"/>
      <c r="G137" s="2"/>
      <c r="H137" s="2"/>
      <c r="I137" s="2">
        <v>0</v>
      </c>
      <c r="J137" s="2"/>
      <c r="K137" s="2"/>
      <c r="L137" s="2"/>
      <c r="M137" s="2"/>
      <c r="N137" s="2"/>
      <c r="O137" s="2"/>
      <c r="Q137" s="2">
        <f>SUM(OSRRefD14_36x)+IFERROR(SUM(OSRRefE14_36x),0)</f>
        <v>0</v>
      </c>
    </row>
    <row r="138" spans="1:17" s="9" customFormat="1" hidden="1" outlineLevel="1" x14ac:dyDescent="0.25">
      <c r="A138" s="23"/>
      <c r="B138" s="10" t="str">
        <f>CONCATENATE("          ","5527", " - ","FREIGHT-IN-SCHOOL SUPPLIES")</f>
        <v xml:space="preserve">          5527 - FREIGHT-IN-SCHOOL SUPPLIES</v>
      </c>
      <c r="C138" s="22"/>
      <c r="D138" s="2"/>
      <c r="E138" s="2"/>
      <c r="F138" s="2"/>
      <c r="G138" s="2">
        <v>56</v>
      </c>
      <c r="H138" s="2"/>
      <c r="I138" s="2">
        <v>121.5</v>
      </c>
      <c r="J138" s="2"/>
      <c r="K138" s="2"/>
      <c r="L138" s="2">
        <v>41.12</v>
      </c>
      <c r="M138" s="2"/>
      <c r="N138" s="2"/>
      <c r="O138" s="2"/>
      <c r="Q138" s="2">
        <f>SUM(OSRRefD14_37x)+IFERROR(SUM(OSRRefE14_37x),0)</f>
        <v>218.62</v>
      </c>
    </row>
    <row r="139" spans="1:17" s="9" customFormat="1" hidden="1" outlineLevel="1" x14ac:dyDescent="0.25">
      <c r="A139" s="23"/>
      <c r="B139" s="10" t="str">
        <f>CONCATENATE("          ","5528", " - ","FREIGHT-IN-ART/TECH")</f>
        <v xml:space="preserve">          5528 - FREIGHT-IN-ART/TECH</v>
      </c>
      <c r="C139" s="22"/>
      <c r="D139" s="2">
        <v>38.049999999999997</v>
      </c>
      <c r="E139" s="2"/>
      <c r="F139" s="2">
        <v>6.76</v>
      </c>
      <c r="G139" s="2">
        <v>239.39</v>
      </c>
      <c r="H139" s="2">
        <v>1.72</v>
      </c>
      <c r="I139" s="2">
        <v>4.29</v>
      </c>
      <c r="J139" s="2">
        <v>48.53</v>
      </c>
      <c r="K139" s="2">
        <v>12.76</v>
      </c>
      <c r="L139" s="2">
        <v>103.71</v>
      </c>
      <c r="M139" s="2">
        <v>89.22</v>
      </c>
      <c r="N139" s="2"/>
      <c r="O139" s="2"/>
      <c r="Q139" s="2">
        <f>SUM(OSRRefD14_38x)+IFERROR(SUM(OSRRefE14_38x),0)</f>
        <v>544.42999999999995</v>
      </c>
    </row>
    <row r="140" spans="1:17" s="9" customFormat="1" hidden="1" outlineLevel="1" x14ac:dyDescent="0.25">
      <c r="A140" s="23"/>
      <c r="B140" s="10" t="str">
        <f>CONCATENATE("          ","5540", " - ","FREIGHT-IN-LOGO CLOTHING")</f>
        <v xml:space="preserve">          5540 - FREIGHT-IN-LOGO CLOTHING</v>
      </c>
      <c r="C140" s="22"/>
      <c r="D140" s="2">
        <v>909.83</v>
      </c>
      <c r="E140" s="2">
        <v>1021.7</v>
      </c>
      <c r="F140" s="2">
        <v>234.23</v>
      </c>
      <c r="G140" s="2">
        <v>1036.57</v>
      </c>
      <c r="H140" s="2">
        <v>1333.15</v>
      </c>
      <c r="I140" s="2">
        <v>907.48</v>
      </c>
      <c r="J140" s="2">
        <v>347.67</v>
      </c>
      <c r="K140" s="2">
        <v>150.6</v>
      </c>
      <c r="L140" s="2">
        <v>1167.1400000000001</v>
      </c>
      <c r="M140" s="2">
        <v>2107.65</v>
      </c>
      <c r="N140" s="2"/>
      <c r="O140" s="2"/>
      <c r="Q140" s="2">
        <f>SUM(OSRRefD14_39x)+IFERROR(SUM(OSRRefE14_39x),0)</f>
        <v>9216.02</v>
      </c>
    </row>
    <row r="141" spans="1:17" s="9" customFormat="1" hidden="1" outlineLevel="1" x14ac:dyDescent="0.25">
      <c r="A141" s="23"/>
      <c r="B141" s="10" t="str">
        <f>CONCATENATE("          ","5541", " - ","FREIGHT-IN-LOGO GIFTS")</f>
        <v xml:space="preserve">          5541 - FREIGHT-IN-LOGO GIFTS</v>
      </c>
      <c r="C141" s="22"/>
      <c r="D141" s="2">
        <v>83.58</v>
      </c>
      <c r="E141" s="2">
        <v>123.12</v>
      </c>
      <c r="F141" s="2">
        <v>154.41</v>
      </c>
      <c r="G141" s="2">
        <v>773.7</v>
      </c>
      <c r="H141" s="2">
        <v>301.06</v>
      </c>
      <c r="I141" s="2">
        <v>84.07</v>
      </c>
      <c r="J141" s="2">
        <v>182.93</v>
      </c>
      <c r="K141" s="2">
        <v>375.06</v>
      </c>
      <c r="L141" s="2">
        <v>60.07</v>
      </c>
      <c r="M141" s="2">
        <v>2877.99</v>
      </c>
      <c r="N141" s="2"/>
      <c r="O141" s="2"/>
      <c r="Q141" s="2">
        <f>SUM(OSRRefD14_40x)+IFERROR(SUM(OSRRefE14_40x),0)</f>
        <v>5015.99</v>
      </c>
    </row>
    <row r="142" spans="1:17" s="9" customFormat="1" hidden="1" outlineLevel="1" x14ac:dyDescent="0.25">
      <c r="A142" s="23"/>
      <c r="B142" s="10" t="str">
        <f>CONCATENATE("          ","5542", " - ","FREIGHT-IN-EVERYDAY GIFTS")</f>
        <v xml:space="preserve">          5542 - FREIGHT-IN-EVERYDAY GIFTS</v>
      </c>
      <c r="C142" s="22"/>
      <c r="D142" s="2">
        <v>5.94</v>
      </c>
      <c r="E142" s="2"/>
      <c r="F142" s="2">
        <v>65.44</v>
      </c>
      <c r="G142" s="2">
        <v>104.17</v>
      </c>
      <c r="H142" s="2">
        <v>21</v>
      </c>
      <c r="I142" s="2"/>
      <c r="J142" s="2">
        <v>187.38</v>
      </c>
      <c r="K142" s="2"/>
      <c r="L142" s="2">
        <v>297.79000000000002</v>
      </c>
      <c r="M142" s="2"/>
      <c r="N142" s="2"/>
      <c r="O142" s="2"/>
      <c r="Q142" s="2">
        <f>SUM(OSRRefD14_41x)+IFERROR(SUM(OSRRefE14_41x),0)</f>
        <v>681.72</v>
      </c>
    </row>
    <row r="143" spans="1:17" s="9" customFormat="1" hidden="1" outlineLevel="1" x14ac:dyDescent="0.25">
      <c r="A143" s="23"/>
      <c r="B143" s="10" t="str">
        <f>CONCATENATE("          ","5543", " - ","FREIGHT-IN-CARDS")</f>
        <v xml:space="preserve">          5543 - FREIGHT-IN-CARDS</v>
      </c>
      <c r="C143" s="22"/>
      <c r="D143" s="2"/>
      <c r="E143" s="2"/>
      <c r="F143" s="2">
        <v>81.77</v>
      </c>
      <c r="G143" s="2">
        <v>107.42</v>
      </c>
      <c r="H143" s="2">
        <v>6323.12</v>
      </c>
      <c r="I143" s="2">
        <v>605.41</v>
      </c>
      <c r="J143" s="2">
        <v>1992.81</v>
      </c>
      <c r="K143" s="2"/>
      <c r="L143" s="2"/>
      <c r="M143" s="2"/>
      <c r="N143" s="2"/>
      <c r="O143" s="2"/>
      <c r="Q143" s="2">
        <f>SUM(OSRRefD14_42x)+IFERROR(SUM(OSRRefE14_42x),0)</f>
        <v>9110.5299999999988</v>
      </c>
    </row>
    <row r="144" spans="1:17" s="9" customFormat="1" hidden="1" outlineLevel="1" x14ac:dyDescent="0.25">
      <c r="A144" s="23"/>
      <c r="B144" s="10" t="str">
        <f>CONCATENATE("          ","5545", " - ","FREIGHT-IN-SPECIAL ORDERS")</f>
        <v xml:space="preserve">          5545 - FREIGHT-IN-SPECIAL ORDERS</v>
      </c>
      <c r="C144" s="22"/>
      <c r="D144" s="2">
        <v>300.39999999999998</v>
      </c>
      <c r="E144" s="2">
        <v>145.6</v>
      </c>
      <c r="F144" s="2">
        <v>214.61</v>
      </c>
      <c r="G144" s="2">
        <v>189.66</v>
      </c>
      <c r="H144" s="2">
        <v>37.590000000000003</v>
      </c>
      <c r="I144" s="2">
        <v>225.93</v>
      </c>
      <c r="J144" s="2"/>
      <c r="K144" s="2">
        <v>134.74</v>
      </c>
      <c r="L144" s="2">
        <v>17.63</v>
      </c>
      <c r="M144" s="2">
        <v>168.6</v>
      </c>
      <c r="N144" s="2"/>
      <c r="O144" s="2"/>
      <c r="Q144" s="2">
        <f>SUM(OSRRefD14_43x)+IFERROR(SUM(OSRRefE14_43x),0)</f>
        <v>1434.76</v>
      </c>
    </row>
    <row r="145" spans="1:17" s="9" customFormat="1" hidden="1" outlineLevel="1" x14ac:dyDescent="0.25">
      <c r="A145" s="23"/>
      <c r="B145" s="10" t="str">
        <f>CONCATENATE("          ","5581", " - ","FREIGHT-IN-ELECTRONICS")</f>
        <v xml:space="preserve">          5581 - FREIGHT-IN-ELECTRONICS</v>
      </c>
      <c r="C145" s="22"/>
      <c r="D145" s="2"/>
      <c r="E145" s="2"/>
      <c r="F145" s="2"/>
      <c r="G145" s="2"/>
      <c r="H145" s="2"/>
      <c r="I145" s="2">
        <v>31</v>
      </c>
      <c r="J145" s="2"/>
      <c r="K145" s="2"/>
      <c r="L145" s="2"/>
      <c r="M145" s="2"/>
      <c r="N145" s="2"/>
      <c r="O145" s="2"/>
      <c r="Q145" s="2">
        <f>SUM(OSRRefD14_44x)+IFERROR(SUM(OSRRefE14_44x),0)</f>
        <v>31</v>
      </c>
    </row>
    <row r="146" spans="1:17" s="9" customFormat="1" hidden="1" outlineLevel="1" x14ac:dyDescent="0.25">
      <c r="A146" s="23"/>
      <c r="B146" s="10" t="str">
        <f>CONCATENATE("          ","5582", " - ","FREIGHT-IN-COMPUTER HARDWARE")</f>
        <v xml:space="preserve">          5582 - FREIGHT-IN-COMPUTER HARDWARE</v>
      </c>
      <c r="C146" s="22"/>
      <c r="D146" s="2"/>
      <c r="E146" s="2"/>
      <c r="F146" s="2">
        <v>24</v>
      </c>
      <c r="G146" s="2">
        <v>70</v>
      </c>
      <c r="H146" s="2"/>
      <c r="I146" s="2"/>
      <c r="J146" s="2"/>
      <c r="K146" s="2">
        <v>31</v>
      </c>
      <c r="L146" s="2"/>
      <c r="M146" s="2"/>
      <c r="N146" s="2"/>
      <c r="O146" s="2"/>
      <c r="Q146" s="2">
        <f>SUM(OSRRefD14_45x)+IFERROR(SUM(OSRRefE14_45x),0)</f>
        <v>125</v>
      </c>
    </row>
    <row r="147" spans="1:17" s="9" customFormat="1" hidden="1" outlineLevel="1" x14ac:dyDescent="0.25">
      <c r="A147" s="23"/>
      <c r="B147" s="10" t="str">
        <f>CONCATENATE("          ","5583", " - ","FREIGHT-IN-COMPUTER EQUIPMENT")</f>
        <v xml:space="preserve">          5583 - FREIGHT-IN-COMPUTER EQUIPMENT</v>
      </c>
      <c r="C147" s="22"/>
      <c r="D147" s="2">
        <v>17.39</v>
      </c>
      <c r="E147" s="2"/>
      <c r="F147" s="2">
        <v>156</v>
      </c>
      <c r="G147" s="2">
        <v>51.78</v>
      </c>
      <c r="H147" s="2"/>
      <c r="I147" s="2">
        <v>7.23</v>
      </c>
      <c r="J147" s="2">
        <v>10.06</v>
      </c>
      <c r="K147" s="2"/>
      <c r="L147" s="2"/>
      <c r="M147" s="2"/>
      <c r="N147" s="2"/>
      <c r="O147" s="2"/>
      <c r="Q147" s="2">
        <f>SUM(OSRRefD14_46x)+IFERROR(SUM(OSRRefE14_46x),0)</f>
        <v>242.45999999999998</v>
      </c>
    </row>
    <row r="148" spans="1:17" s="9" customFormat="1" hidden="1" outlineLevel="1" x14ac:dyDescent="0.25">
      <c r="A148" s="23"/>
      <c r="B148" s="10" t="str">
        <f>CONCATENATE("          ","5585", " - ","FREIGHT-IN-SOFTWARE")</f>
        <v xml:space="preserve">          5585 - FREIGHT-IN-SOFTWARE</v>
      </c>
      <c r="C148" s="22"/>
      <c r="D148" s="2"/>
      <c r="E148" s="2"/>
      <c r="F148" s="2"/>
      <c r="G148" s="2"/>
      <c r="H148" s="2"/>
      <c r="I148" s="2"/>
      <c r="J148" s="2"/>
      <c r="K148" s="2"/>
      <c r="L148" s="2">
        <v>9.41</v>
      </c>
      <c r="M148" s="2"/>
      <c r="N148" s="2"/>
      <c r="O148" s="2"/>
      <c r="Q148" s="2">
        <f>SUM(OSRRefD14_47x)+IFERROR(SUM(OSRRefE14_47x),0)</f>
        <v>9.41</v>
      </c>
    </row>
    <row r="149" spans="1:17" s="9" customFormat="1" hidden="1" outlineLevel="1" x14ac:dyDescent="0.25">
      <c r="A149" s="23"/>
      <c r="B149" s="10" t="str">
        <f>CONCATENATE("          ","5586", " - ","FREIGHT-IN-COMPUTER SUPPLIES")</f>
        <v xml:space="preserve">          5586 - FREIGHT-IN-COMPUTER SUPPLIES</v>
      </c>
      <c r="C149" s="22"/>
      <c r="D149" s="2"/>
      <c r="E149" s="2">
        <v>24.12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Q149" s="2">
        <f>SUM(OSRRefD14_48x)+IFERROR(SUM(OSRRefE14_48x),0)</f>
        <v>24.12</v>
      </c>
    </row>
    <row r="150" spans="1:17" s="9" customFormat="1" hidden="1" outlineLevel="1" x14ac:dyDescent="0.25">
      <c r="A150" s="23"/>
      <c r="B150" s="10" t="str">
        <f>CONCATENATE("          ","5592", " - ","FREIGHT-IN-GRAD MERCH")</f>
        <v xml:space="preserve">          5592 - FREIGHT-IN-GRAD MERCH</v>
      </c>
      <c r="C150" s="22"/>
      <c r="D150" s="2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>
        <f>SUM(OSRRefD14_49x)+IFERROR(SUM(OSRRefE14_49x),0)</f>
        <v>0</v>
      </c>
    </row>
    <row r="151" spans="1:17" x14ac:dyDescent="0.25">
      <c r="A151" s="5"/>
      <c r="B151" s="6"/>
      <c r="C151" s="6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5" customFormat="1" x14ac:dyDescent="0.25">
      <c r="A152" s="6"/>
      <c r="B152" s="17" t="s">
        <v>105</v>
      </c>
      <c r="C152" s="17"/>
      <c r="D152" s="8">
        <f t="shared" ref="D152:O152" si="48">IFERROR(+D10-D100, 0)</f>
        <v>140094.12999999989</v>
      </c>
      <c r="E152" s="8">
        <f t="shared" si="48"/>
        <v>602829.42000000016</v>
      </c>
      <c r="F152" s="8">
        <f t="shared" si="48"/>
        <v>357053.18000000028</v>
      </c>
      <c r="G152" s="8">
        <f t="shared" si="48"/>
        <v>346546.22000000026</v>
      </c>
      <c r="H152" s="8">
        <f t="shared" si="48"/>
        <v>229696.64000000019</v>
      </c>
      <c r="I152" s="8">
        <f t="shared" si="48"/>
        <v>237270.65000000008</v>
      </c>
      <c r="J152" s="8">
        <f t="shared" si="48"/>
        <v>547117.12000000023</v>
      </c>
      <c r="K152" s="8">
        <f t="shared" si="48"/>
        <v>190788.35000000009</v>
      </c>
      <c r="L152" s="8">
        <f t="shared" si="48"/>
        <v>321412.7099999999</v>
      </c>
      <c r="M152" s="8">
        <f t="shared" si="48"/>
        <v>395094.12</v>
      </c>
      <c r="N152" s="8">
        <f t="shared" si="48"/>
        <v>233822.5</v>
      </c>
      <c r="O152" s="8">
        <f t="shared" si="48"/>
        <v>169363.90000000002</v>
      </c>
      <c r="Q152" s="8">
        <f>IFERROR(+Q10-Q100, 0)</f>
        <v>3771088.9400000004</v>
      </c>
    </row>
    <row r="153" spans="1:17" s="6" customFormat="1" x14ac:dyDescent="0.25">
      <c r="B153" s="16"/>
      <c r="C153" s="16"/>
      <c r="D153" s="4">
        <f t="shared" ref="D153:O153" si="49">IFERROR(D152/D10, 0)</f>
        <v>0.29375495050776523</v>
      </c>
      <c r="E153" s="4">
        <f t="shared" si="49"/>
        <v>0.27265107781359255</v>
      </c>
      <c r="F153" s="4">
        <f t="shared" si="49"/>
        <v>0.39858737560832891</v>
      </c>
      <c r="G153" s="4">
        <f t="shared" si="49"/>
        <v>0.50949151662746039</v>
      </c>
      <c r="H153" s="4">
        <f t="shared" si="49"/>
        <v>0.58076539576719266</v>
      </c>
      <c r="I153" s="4">
        <f t="shared" si="49"/>
        <v>0.49068758093960163</v>
      </c>
      <c r="J153" s="4">
        <f t="shared" si="49"/>
        <v>0.37414216266619149</v>
      </c>
      <c r="K153" s="4">
        <f t="shared" si="49"/>
        <v>0.34934582373405276</v>
      </c>
      <c r="L153" s="4">
        <f t="shared" si="49"/>
        <v>0.39496910607218122</v>
      </c>
      <c r="M153" s="4">
        <f t="shared" si="49"/>
        <v>0.38038363863883018</v>
      </c>
      <c r="N153" s="4">
        <f t="shared" si="49"/>
        <v>0.4938147105875893</v>
      </c>
      <c r="O153" s="4">
        <f t="shared" si="49"/>
        <v>0.33287787087285464</v>
      </c>
      <c r="P153" s="18"/>
      <c r="Q153" s="4">
        <f>IFERROR(Q152/Q10, 0)</f>
        <v>0.37763324342299154</v>
      </c>
    </row>
    <row r="154" spans="1:17" x14ac:dyDescent="0.25">
      <c r="A154" s="5"/>
      <c r="B154" s="6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Q154" s="1"/>
    </row>
    <row r="155" spans="1:17" s="15" customFormat="1" x14ac:dyDescent="0.25">
      <c r="A155" s="6"/>
      <c r="B155" s="16" t="s">
        <v>254</v>
      </c>
      <c r="C155" s="6"/>
      <c r="D155" s="14">
        <f>SUM(OSRRefD20x_0)</f>
        <v>699886.54999999993</v>
      </c>
      <c r="E155" s="14">
        <f>SUM(OSRRefD20x_1)</f>
        <v>609031.24000000011</v>
      </c>
      <c r="F155" s="14">
        <f>SUM(OSRRefD20x_2)</f>
        <v>689724.47</v>
      </c>
      <c r="G155" s="14">
        <f>SUM(OSRRefD20x_3)</f>
        <v>914242.08999999985</v>
      </c>
      <c r="H155" s="14">
        <f>SUM(OSRRefD20x_4)</f>
        <v>643269.85999999987</v>
      </c>
      <c r="I155" s="14">
        <f>SUM(OSRRefD20x_5)</f>
        <v>667513.45000000007</v>
      </c>
      <c r="J155" s="14">
        <f>SUM(OSRRefD20x_6)</f>
        <v>646417.86</v>
      </c>
      <c r="K155" s="14">
        <f>SUM(OSRRefD20x_7)</f>
        <v>615195.78999999992</v>
      </c>
      <c r="L155" s="14">
        <f>SUM(OSRRefD20x_8)</f>
        <v>620951.0399999998</v>
      </c>
      <c r="M155" s="14">
        <f>SUM(OSRRefD20x_9)</f>
        <v>672522.08</v>
      </c>
      <c r="N155" s="14">
        <f>SUM(OSRRefE20x_0)</f>
        <v>699921.65115574724</v>
      </c>
      <c r="O155" s="14">
        <f>SUM(OSRRefE20x_1)</f>
        <v>656168.56717622897</v>
      </c>
      <c r="Q155" s="14">
        <f>SUM(OSRRefG20x)</f>
        <v>8134844.6483319774</v>
      </c>
    </row>
    <row r="156" spans="1:17" s="34" customFormat="1" collapsed="1" x14ac:dyDescent="0.25">
      <c r="A156" s="35"/>
      <c r="B156" s="11" t="str">
        <f>CONCATENATE("     ","*Benefits                                         ")</f>
        <v xml:space="preserve">     *Benefits                                         </v>
      </c>
      <c r="C156" s="11"/>
      <c r="D156" s="1">
        <f>SUM(OSRRefD21_0x_0)</f>
        <v>154113.13999999998</v>
      </c>
      <c r="E156" s="1">
        <f>SUM(OSRRefD21_0x_1)</f>
        <v>151965.58000000002</v>
      </c>
      <c r="F156" s="1">
        <f>SUM(OSRRefD21_0x_2)</f>
        <v>157498.78</v>
      </c>
      <c r="G156" s="1">
        <f>SUM(OSRRefD21_0x_3)</f>
        <v>172384.21000000002</v>
      </c>
      <c r="H156" s="1">
        <f>SUM(OSRRefD21_0x_4)</f>
        <v>158302.26999999999</v>
      </c>
      <c r="I156" s="1">
        <f>SUM(OSRRefD21_0x_5)</f>
        <v>149567.71000000002</v>
      </c>
      <c r="J156" s="1">
        <f>SUM(OSRRefD21_0x_6)</f>
        <v>150871.77999999997</v>
      </c>
      <c r="K156" s="1">
        <f>SUM(OSRRefD21_0x_7)</f>
        <v>145357.65</v>
      </c>
      <c r="L156" s="1">
        <f>SUM(OSRRefD21_0x_8)</f>
        <v>147159.49</v>
      </c>
      <c r="M156" s="1">
        <f>SUM(OSRRefD21_0x_9)</f>
        <v>166236.45000000001</v>
      </c>
      <c r="N156" s="1">
        <f>SUM(OSRRefE21_0x_0)</f>
        <v>157525.52009974746</v>
      </c>
      <c r="O156" s="1">
        <f>SUM(OSRRefE21_0x_1)</f>
        <v>160190.39072022916</v>
      </c>
      <c r="Q156" s="2">
        <f>SUM(OSRRefD20_0x)+IFERROR(SUM(OSRRefE20_0x),0)</f>
        <v>1871172.9708199764</v>
      </c>
    </row>
    <row r="157" spans="1:17" s="34" customFormat="1" hidden="1" outlineLevel="1" x14ac:dyDescent="0.25">
      <c r="A157" s="35"/>
      <c r="B157" s="10" t="str">
        <f>CONCATENATE("          ","6111", " - ","F.I.C.A.")</f>
        <v xml:space="preserve">          6111 - F.I.C.A.</v>
      </c>
      <c r="C157" s="11"/>
      <c r="D157" s="20">
        <v>18869.66</v>
      </c>
      <c r="E157" s="20">
        <v>22595.21</v>
      </c>
      <c r="F157" s="20">
        <v>24213.34</v>
      </c>
      <c r="G157" s="20">
        <v>33152.58</v>
      </c>
      <c r="H157" s="20">
        <v>17572.8</v>
      </c>
      <c r="I157" s="20">
        <v>17455.38</v>
      </c>
      <c r="J157" s="20">
        <v>18515.07</v>
      </c>
      <c r="K157" s="20">
        <v>18392.79</v>
      </c>
      <c r="L157" s="20">
        <v>18662.14</v>
      </c>
      <c r="M157" s="20">
        <v>27233.31</v>
      </c>
      <c r="N157" s="20">
        <v>19196.215289920401</v>
      </c>
      <c r="O157" s="20">
        <v>23113.768675007901</v>
      </c>
      <c r="P157" s="36"/>
      <c r="Q157" s="2">
        <f>SUM(OSRRefD21_0_0x)+IFERROR(SUM(OSRRefE21_0_0x),0)</f>
        <v>258972.26396492834</v>
      </c>
    </row>
    <row r="158" spans="1:17" s="34" customFormat="1" hidden="1" outlineLevel="1" x14ac:dyDescent="0.25">
      <c r="A158" s="35"/>
      <c r="B158" s="10" t="str">
        <f>CONCATENATE("          ","6112", " - ","COMPENSATION INSURANCE")</f>
        <v xml:space="preserve">          6112 - COMPENSATION INSURANCE</v>
      </c>
      <c r="C158" s="11"/>
      <c r="D158" s="20">
        <v>6219.84</v>
      </c>
      <c r="E158" s="20">
        <v>7180.93</v>
      </c>
      <c r="F158" s="20">
        <v>10584.2</v>
      </c>
      <c r="G158" s="20">
        <v>7630.81</v>
      </c>
      <c r="H158" s="20">
        <v>12807.21</v>
      </c>
      <c r="I158" s="20">
        <v>12807.21</v>
      </c>
      <c r="J158" s="20">
        <v>1923.58</v>
      </c>
      <c r="K158" s="20">
        <v>7333.96</v>
      </c>
      <c r="L158" s="20">
        <v>7198.59</v>
      </c>
      <c r="M158" s="20">
        <v>6829.3</v>
      </c>
      <c r="N158" s="20">
        <v>9416.2036198038495</v>
      </c>
      <c r="O158" s="20">
        <v>8516.8203241788506</v>
      </c>
      <c r="P158" s="36"/>
      <c r="Q158" s="2">
        <f>SUM(OSRRefD21_0_1x)+IFERROR(SUM(OSRRefE21_0_1x),0)</f>
        <v>98448.653943982703</v>
      </c>
    </row>
    <row r="159" spans="1:17" s="34" customFormat="1" hidden="1" outlineLevel="1" x14ac:dyDescent="0.25">
      <c r="A159" s="35"/>
      <c r="B159" s="10" t="str">
        <f>CONCATENATE("          ","6113", " - ","GROUP INSURANCE")</f>
        <v xml:space="preserve">          6113 - GROUP INSURANCE</v>
      </c>
      <c r="C159" s="11"/>
      <c r="D159" s="20">
        <v>75665</v>
      </c>
      <c r="E159" s="20">
        <v>75559.64</v>
      </c>
      <c r="F159" s="20">
        <v>74825.47</v>
      </c>
      <c r="G159" s="20">
        <v>74141.570000000007</v>
      </c>
      <c r="H159" s="20">
        <v>74141.570000000007</v>
      </c>
      <c r="I159" s="20">
        <v>74273.73</v>
      </c>
      <c r="J159" s="20">
        <v>77850.679999999993</v>
      </c>
      <c r="K159" s="20">
        <v>74518.17</v>
      </c>
      <c r="L159" s="20">
        <v>74510.69</v>
      </c>
      <c r="M159" s="20">
        <v>73954.740000000005</v>
      </c>
      <c r="N159" s="20">
        <v>84079.769230769307</v>
      </c>
      <c r="O159" s="20">
        <v>84262.538461538497</v>
      </c>
      <c r="P159" s="36"/>
      <c r="Q159" s="2">
        <f>SUM(OSRRefD21_0_2x)+IFERROR(SUM(OSRRefE21_0_2x),0)</f>
        <v>917783.56769230776</v>
      </c>
    </row>
    <row r="160" spans="1:17" s="34" customFormat="1" hidden="1" outlineLevel="1" x14ac:dyDescent="0.25">
      <c r="A160" s="35"/>
      <c r="B160" s="10" t="str">
        <f>CONCATENATE("          ","6114", " - ","STATE UNEMPLOYMENT INSURANCE")</f>
        <v xml:space="preserve">          6114 - STATE UNEMPLOYMENT INSURANCE</v>
      </c>
      <c r="C160" s="11"/>
      <c r="D160" s="20">
        <v>722.18</v>
      </c>
      <c r="E160" s="20">
        <v>779.29</v>
      </c>
      <c r="F160" s="20">
        <v>982.97</v>
      </c>
      <c r="G160" s="20">
        <v>756.23</v>
      </c>
      <c r="H160" s="20">
        <v>1325.17</v>
      </c>
      <c r="I160" s="20"/>
      <c r="J160" s="20">
        <v>1500.91</v>
      </c>
      <c r="K160" s="20">
        <v>739.84</v>
      </c>
      <c r="L160" s="20">
        <v>723.36</v>
      </c>
      <c r="M160" s="20">
        <v>680.57</v>
      </c>
      <c r="N160" s="20">
        <v>854.61181810000005</v>
      </c>
      <c r="O160" s="20">
        <v>790.79230585000005</v>
      </c>
      <c r="P160" s="36"/>
      <c r="Q160" s="2">
        <f>SUM(OSRRefD21_0_3x)+IFERROR(SUM(OSRRefE21_0_3x),0)</f>
        <v>9855.9241239500006</v>
      </c>
    </row>
    <row r="161" spans="1:17" s="34" customFormat="1" hidden="1" outlineLevel="1" x14ac:dyDescent="0.25">
      <c r="A161" s="35"/>
      <c r="B161" s="10" t="str">
        <f>CONCATENATE("          ","6115", " - ","P.E.R.S.")</f>
        <v xml:space="preserve">          6115 - P.E.R.S.</v>
      </c>
      <c r="C161" s="11"/>
      <c r="D161" s="20">
        <v>21251.45</v>
      </c>
      <c r="E161" s="20">
        <v>14241.5</v>
      </c>
      <c r="F161" s="20">
        <v>14016.4</v>
      </c>
      <c r="G161" s="20">
        <v>12331.13</v>
      </c>
      <c r="H161" s="20">
        <v>20058.54</v>
      </c>
      <c r="I161" s="20">
        <v>13525.61</v>
      </c>
      <c r="J161" s="20">
        <v>19996.61</v>
      </c>
      <c r="K161" s="20">
        <v>13405.85</v>
      </c>
      <c r="L161" s="20">
        <v>13550.15</v>
      </c>
      <c r="M161" s="20">
        <v>13304.87</v>
      </c>
      <c r="N161" s="20">
        <v>12739.244896923101</v>
      </c>
      <c r="O161" s="20">
        <v>12739.244896923101</v>
      </c>
      <c r="P161" s="36"/>
      <c r="Q161" s="2">
        <f>SUM(OSRRefD21_0_4x)+IFERROR(SUM(OSRRefE21_0_4x),0)</f>
        <v>181160.5997938462</v>
      </c>
    </row>
    <row r="162" spans="1:17" s="34" customFormat="1" hidden="1" outlineLevel="1" x14ac:dyDescent="0.25">
      <c r="A162" s="35"/>
      <c r="B162" s="10" t="str">
        <f>CONCATENATE("          ","6116", " - ","EDUCATIONAL BENEFITS")</f>
        <v xml:space="preserve">          6116 - EDUCATIONAL BENEFITS</v>
      </c>
      <c r="C162" s="11"/>
      <c r="D162" s="20">
        <v>0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>
        <v>0</v>
      </c>
      <c r="O162" s="20">
        <v>0</v>
      </c>
      <c r="P162" s="36"/>
      <c r="Q162" s="2">
        <f>SUM(OSRRefD21_0_5x)+IFERROR(SUM(OSRRefE21_0_5x),0)</f>
        <v>0</v>
      </c>
    </row>
    <row r="163" spans="1:17" s="34" customFormat="1" hidden="1" outlineLevel="1" x14ac:dyDescent="0.25">
      <c r="A163" s="35"/>
      <c r="B163" s="10" t="str">
        <f>CONCATENATE("          ","6117", " - ","RETIREMENT STAFF HOURLY")</f>
        <v xml:space="preserve">          6117 - RETIREMENT STAFF HOURLY</v>
      </c>
      <c r="C163" s="11"/>
      <c r="D163" s="20">
        <v>2649.82</v>
      </c>
      <c r="E163" s="20">
        <v>1920.07</v>
      </c>
      <c r="F163" s="20">
        <v>2046.41</v>
      </c>
      <c r="G163" s="20">
        <v>1868.21</v>
      </c>
      <c r="H163" s="20">
        <v>1882.82</v>
      </c>
      <c r="I163" s="20">
        <v>2029.24</v>
      </c>
      <c r="J163" s="20">
        <v>2208.6799999999998</v>
      </c>
      <c r="K163" s="20">
        <v>2202.4699999999998</v>
      </c>
      <c r="L163" s="20">
        <v>3123.28</v>
      </c>
      <c r="M163" s="20">
        <v>2018.25</v>
      </c>
      <c r="N163" s="20"/>
      <c r="O163" s="20"/>
      <c r="P163" s="36"/>
      <c r="Q163" s="2">
        <f>SUM(OSRRefD21_0_6x)+IFERROR(SUM(OSRRefE21_0_6x),0)</f>
        <v>21949.25</v>
      </c>
    </row>
    <row r="164" spans="1:17" s="34" customFormat="1" hidden="1" outlineLevel="1" x14ac:dyDescent="0.25">
      <c r="A164" s="35"/>
      <c r="B164" s="10" t="str">
        <f>CONCATENATE("          ","6118", " - ","VACATION")</f>
        <v xml:space="preserve">          6118 - VACATION</v>
      </c>
      <c r="C164" s="11"/>
      <c r="D164" s="20">
        <v>14322.85</v>
      </c>
      <c r="E164" s="20">
        <v>14846.53</v>
      </c>
      <c r="F164" s="20">
        <v>15107.47</v>
      </c>
      <c r="G164" s="20">
        <v>21889.86</v>
      </c>
      <c r="H164" s="20">
        <v>15245.39</v>
      </c>
      <c r="I164" s="20">
        <v>15483.12</v>
      </c>
      <c r="J164" s="20">
        <v>15535.69</v>
      </c>
      <c r="K164" s="20">
        <v>14515.96</v>
      </c>
      <c r="L164" s="20">
        <v>14188.83</v>
      </c>
      <c r="M164" s="20">
        <v>22536.1</v>
      </c>
      <c r="N164" s="20">
        <v>13831.25374</v>
      </c>
      <c r="O164" s="20">
        <v>13848.41374</v>
      </c>
      <c r="P164" s="36"/>
      <c r="Q164" s="2">
        <f>SUM(OSRRefD21_0_7x)+IFERROR(SUM(OSRRefE21_0_7x),0)</f>
        <v>191351.46747999999</v>
      </c>
    </row>
    <row r="165" spans="1:17" s="34" customFormat="1" hidden="1" outlineLevel="1" x14ac:dyDescent="0.25">
      <c r="A165" s="35"/>
      <c r="B165" s="10" t="str">
        <f>CONCATENATE("          ","6119", " - ","SICK LEAVE")</f>
        <v xml:space="preserve">          6119 - SICK LEAVE</v>
      </c>
      <c r="C165" s="11"/>
      <c r="D165" s="20">
        <v>10199.56</v>
      </c>
      <c r="E165" s="20">
        <v>10199.56</v>
      </c>
      <c r="F165" s="20">
        <v>10103.620000000001</v>
      </c>
      <c r="G165" s="20">
        <v>14712.85</v>
      </c>
      <c r="H165" s="20">
        <v>10091.219999999999</v>
      </c>
      <c r="I165" s="20">
        <v>10174.76</v>
      </c>
      <c r="J165" s="20">
        <v>10100.69</v>
      </c>
      <c r="K165" s="20">
        <v>9922.65</v>
      </c>
      <c r="L165" s="20">
        <v>9985.3799999999992</v>
      </c>
      <c r="M165" s="20">
        <v>14773.83</v>
      </c>
      <c r="N165" s="20">
        <v>10708.2215042308</v>
      </c>
      <c r="O165" s="20">
        <v>10218.8123167308</v>
      </c>
      <c r="P165" s="36"/>
      <c r="Q165" s="2">
        <f>SUM(OSRRefD21_0_8x)+IFERROR(SUM(OSRRefE21_0_8x),0)</f>
        <v>131191.1538209616</v>
      </c>
    </row>
    <row r="166" spans="1:17" s="34" customFormat="1" hidden="1" outlineLevel="1" x14ac:dyDescent="0.25">
      <c r="A166" s="35"/>
      <c r="B166" s="10" t="str">
        <f>CONCATENATE("          ","6156", " - ","EMPLOYEE MEALS")</f>
        <v xml:space="preserve">          6156 - EMPLOYEE MEALS</v>
      </c>
      <c r="C166" s="11"/>
      <c r="D166" s="20">
        <v>4212.78</v>
      </c>
      <c r="E166" s="20">
        <v>4642.8500000000004</v>
      </c>
      <c r="F166" s="20">
        <v>5618.9</v>
      </c>
      <c r="G166" s="20">
        <v>5900.97</v>
      </c>
      <c r="H166" s="20">
        <v>5177.55</v>
      </c>
      <c r="I166" s="20">
        <v>3818.66</v>
      </c>
      <c r="J166" s="20">
        <v>3239.87</v>
      </c>
      <c r="K166" s="20">
        <v>4325.96</v>
      </c>
      <c r="L166" s="20">
        <v>5217.07</v>
      </c>
      <c r="M166" s="20">
        <v>4905.4799999999996</v>
      </c>
      <c r="N166" s="20">
        <v>6700</v>
      </c>
      <c r="O166" s="20">
        <v>6700</v>
      </c>
      <c r="P166" s="36"/>
      <c r="Q166" s="2">
        <f>SUM(OSRRefD21_0_9x)+IFERROR(SUM(OSRRefE21_0_9x),0)</f>
        <v>60460.09</v>
      </c>
    </row>
    <row r="167" spans="1:17" s="34" customFormat="1" collapsed="1" x14ac:dyDescent="0.25">
      <c r="A167" s="35"/>
      <c r="B167" s="11" t="str">
        <f>CONCATENATE("     ","*Payroll                                          ")</f>
        <v xml:space="preserve">     *Payroll                                          </v>
      </c>
      <c r="C167" s="11"/>
      <c r="D167" s="1">
        <f>SUM(OSRRefD21_1x_0)</f>
        <v>277403.17000000004</v>
      </c>
      <c r="E167" s="1">
        <f>SUM(OSRRefD21_1x_1)</f>
        <v>314680.14999999997</v>
      </c>
      <c r="F167" s="1">
        <f>SUM(OSRRefD21_1x_2)</f>
        <v>302225.3</v>
      </c>
      <c r="G167" s="1">
        <f>SUM(OSRRefD21_1x_3)</f>
        <v>322845.24</v>
      </c>
      <c r="H167" s="1">
        <f>SUM(OSRRefD21_1x_4)</f>
        <v>249775.16999999998</v>
      </c>
      <c r="I167" s="1">
        <f>SUM(OSRRefD21_1x_5)</f>
        <v>257345.03</v>
      </c>
      <c r="J167" s="1">
        <f>SUM(OSRRefD21_1x_6)</f>
        <v>328486.05</v>
      </c>
      <c r="K167" s="1">
        <f>SUM(OSRRefD21_1x_7)</f>
        <v>255263.19999999998</v>
      </c>
      <c r="L167" s="1">
        <f>SUM(OSRRefD21_1x_8)</f>
        <v>271183.71999999997</v>
      </c>
      <c r="M167" s="1">
        <f>SUM(OSRRefD21_1x_9)</f>
        <v>295171.22000000003</v>
      </c>
      <c r="N167" s="1">
        <f>SUM(OSRRefE21_1x_0)</f>
        <v>304891.13105599978</v>
      </c>
      <c r="O167" s="1">
        <f>SUM(OSRRefE21_1x_1)</f>
        <v>280722.17645599978</v>
      </c>
      <c r="Q167" s="2">
        <f>SUM(OSRRefD20_1x)+IFERROR(SUM(OSRRefE20_1x),0)</f>
        <v>3459991.5575120002</v>
      </c>
    </row>
    <row r="168" spans="1:17" s="34" customFormat="1" hidden="1" outlineLevel="1" x14ac:dyDescent="0.25">
      <c r="A168" s="35"/>
      <c r="B168" s="10" t="str">
        <f>CONCATENATE("          ","6001", " - ","ADMINISTRATIVE SALARIES")</f>
        <v xml:space="preserve">          6001 - ADMINISTRATIVE SALARIES</v>
      </c>
      <c r="C168" s="11"/>
      <c r="D168" s="20">
        <v>32190.44</v>
      </c>
      <c r="E168" s="20">
        <v>24856.46</v>
      </c>
      <c r="F168" s="20">
        <v>28440.28</v>
      </c>
      <c r="G168" s="20">
        <v>30125.759999999998</v>
      </c>
      <c r="H168" s="20">
        <v>26464.799999999999</v>
      </c>
      <c r="I168" s="20">
        <v>24449.32</v>
      </c>
      <c r="J168" s="20">
        <v>35328.300000000003</v>
      </c>
      <c r="K168" s="20">
        <v>28111.82</v>
      </c>
      <c r="L168" s="20">
        <v>27556.35</v>
      </c>
      <c r="M168" s="20">
        <v>31629.19</v>
      </c>
      <c r="N168" s="20">
        <v>23320.6307692308</v>
      </c>
      <c r="O168" s="20">
        <v>23320.6307692308</v>
      </c>
      <c r="P168" s="36"/>
      <c r="Q168" s="2">
        <f>SUM(OSRRefD21_1_0x)+IFERROR(SUM(OSRRefE21_1_0x),0)</f>
        <v>335793.98153846158</v>
      </c>
    </row>
    <row r="169" spans="1:17" s="34" customFormat="1" hidden="1" outlineLevel="1" x14ac:dyDescent="0.25">
      <c r="A169" s="35"/>
      <c r="B169" s="10" t="str">
        <f>CONCATENATE("          ","6002", " - ","STAFF SALARIES")</f>
        <v xml:space="preserve">          6002 - STAFF SALARIES</v>
      </c>
      <c r="C169" s="11"/>
      <c r="D169" s="20">
        <v>135928.07</v>
      </c>
      <c r="E169" s="20">
        <v>110527.54</v>
      </c>
      <c r="F169" s="20">
        <v>110555.99</v>
      </c>
      <c r="G169" s="20">
        <v>113887.76</v>
      </c>
      <c r="H169" s="20">
        <v>92211.93</v>
      </c>
      <c r="I169" s="20">
        <v>102039.22</v>
      </c>
      <c r="J169" s="20">
        <v>131650.63</v>
      </c>
      <c r="K169" s="20">
        <v>107681.93</v>
      </c>
      <c r="L169" s="20">
        <v>106794.62</v>
      </c>
      <c r="M169" s="20">
        <v>118725.46</v>
      </c>
      <c r="N169" s="20">
        <v>110006.967286769</v>
      </c>
      <c r="O169" s="20">
        <v>110006.967286769</v>
      </c>
      <c r="P169" s="36"/>
      <c r="Q169" s="2">
        <f>SUM(OSRRefD21_1_1x)+IFERROR(SUM(OSRRefE21_1_1x),0)</f>
        <v>1350017.084573538</v>
      </c>
    </row>
    <row r="170" spans="1:17" s="34" customFormat="1" hidden="1" outlineLevel="1" x14ac:dyDescent="0.25">
      <c r="A170" s="35"/>
      <c r="B170" s="10" t="str">
        <f>CONCATENATE("          ","6003", " - ","STAFF HOURLY-9 MONTH")</f>
        <v xml:space="preserve">          6003 - STAFF HOURLY-9 MONTH</v>
      </c>
      <c r="C170" s="11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>
        <v>0</v>
      </c>
      <c r="O170" s="20">
        <v>0</v>
      </c>
      <c r="P170" s="36"/>
      <c r="Q170" s="2">
        <f>SUM(OSRRefD21_1_2x)+IFERROR(SUM(OSRRefE21_1_2x),0)</f>
        <v>0</v>
      </c>
    </row>
    <row r="171" spans="1:17" s="34" customFormat="1" hidden="1" outlineLevel="1" x14ac:dyDescent="0.25">
      <c r="A171" s="35"/>
      <c r="B171" s="10" t="str">
        <f>CONCATENATE("          ","6004", " - ","STAFF HOURLY")</f>
        <v xml:space="preserve">          6004 - STAFF HOURLY</v>
      </c>
      <c r="C171" s="11"/>
      <c r="D171" s="20">
        <v>54669.48</v>
      </c>
      <c r="E171" s="20">
        <v>64226.31</v>
      </c>
      <c r="F171" s="20">
        <v>71482.58</v>
      </c>
      <c r="G171" s="20">
        <v>94314.06</v>
      </c>
      <c r="H171" s="20">
        <v>65600.259999999995</v>
      </c>
      <c r="I171" s="20">
        <v>57921.77</v>
      </c>
      <c r="J171" s="20">
        <v>60870.11</v>
      </c>
      <c r="K171" s="20">
        <v>58536.49</v>
      </c>
      <c r="L171" s="20">
        <v>62538.52</v>
      </c>
      <c r="M171" s="20">
        <v>92670.57</v>
      </c>
      <c r="N171" s="20">
        <v>94411.588799999998</v>
      </c>
      <c r="O171" s="20">
        <v>97245.534</v>
      </c>
      <c r="P171" s="36"/>
      <c r="Q171" s="2">
        <f>SUM(OSRRefD21_1_3x)+IFERROR(SUM(OSRRefE21_1_3x),0)</f>
        <v>874487.27280000015</v>
      </c>
    </row>
    <row r="172" spans="1:17" s="34" customFormat="1" hidden="1" outlineLevel="1" x14ac:dyDescent="0.25">
      <c r="A172" s="35"/>
      <c r="B172" s="10" t="str">
        <f>CONCATENATE("          ","6005", " - ","TEMPORARY WAGES-HOURLY")</f>
        <v xml:space="preserve">          6005 - TEMPORARY WAGES-HOURLY</v>
      </c>
      <c r="C172" s="11"/>
      <c r="D172" s="20">
        <v>19122.939999999999</v>
      </c>
      <c r="E172" s="20">
        <v>31518.66</v>
      </c>
      <c r="F172" s="20">
        <v>48822.03</v>
      </c>
      <c r="G172" s="20">
        <v>52240.99</v>
      </c>
      <c r="H172" s="20">
        <v>24886.17</v>
      </c>
      <c r="I172" s="20">
        <v>27251.21</v>
      </c>
      <c r="J172" s="20">
        <v>27127.15</v>
      </c>
      <c r="K172" s="20">
        <v>28487.8</v>
      </c>
      <c r="L172" s="20">
        <v>29141.54</v>
      </c>
      <c r="M172" s="20">
        <v>33928.269999999997</v>
      </c>
      <c r="N172" s="20">
        <v>20114.099999999999</v>
      </c>
      <c r="O172" s="20">
        <v>2123.835</v>
      </c>
      <c r="P172" s="36"/>
      <c r="Q172" s="2">
        <f>SUM(OSRRefD21_1_4x)+IFERROR(SUM(OSRRefE21_1_4x),0)</f>
        <v>344764.69499999995</v>
      </c>
    </row>
    <row r="173" spans="1:17" s="34" customFormat="1" hidden="1" outlineLevel="1" x14ac:dyDescent="0.25">
      <c r="A173" s="35"/>
      <c r="B173" s="10" t="str">
        <f>CONCATENATE("          ","6006", " - ","TEMPORARY PART TIME")</f>
        <v xml:space="preserve">          6006 - TEMPORARY PART TIME</v>
      </c>
      <c r="C173" s="11"/>
      <c r="D173" s="20">
        <v>2048.21</v>
      </c>
      <c r="E173" s="20">
        <v>1927.34</v>
      </c>
      <c r="F173" s="20">
        <v>1728.86</v>
      </c>
      <c r="G173" s="20">
        <v>1802.76</v>
      </c>
      <c r="H173" s="20">
        <v>1048.44</v>
      </c>
      <c r="I173" s="20">
        <v>1432.35</v>
      </c>
      <c r="J173" s="20"/>
      <c r="K173" s="20">
        <v>2651.44</v>
      </c>
      <c r="L173" s="20">
        <v>2740.85</v>
      </c>
      <c r="M173" s="20">
        <v>3741.03</v>
      </c>
      <c r="N173" s="20">
        <v>0</v>
      </c>
      <c r="O173" s="20">
        <v>0</v>
      </c>
      <c r="P173" s="36"/>
      <c r="Q173" s="2">
        <f>SUM(OSRRefD21_1_5x)+IFERROR(SUM(OSRRefE21_1_5x),0)</f>
        <v>19121.280000000002</v>
      </c>
    </row>
    <row r="174" spans="1:17" s="34" customFormat="1" hidden="1" outlineLevel="1" x14ac:dyDescent="0.25">
      <c r="A174" s="35"/>
      <c r="B174" s="10" t="str">
        <f>CONCATENATE("          ","6007", " - ","STUDENT HOURLY")</f>
        <v xml:space="preserve">          6007 - STUDENT HOURLY</v>
      </c>
      <c r="C174" s="11"/>
      <c r="D174" s="20">
        <v>33444.03</v>
      </c>
      <c r="E174" s="20">
        <v>80574.48</v>
      </c>
      <c r="F174" s="20">
        <v>36210.199999999997</v>
      </c>
      <c r="G174" s="20">
        <v>23964.41</v>
      </c>
      <c r="H174" s="20">
        <v>36356.57</v>
      </c>
      <c r="I174" s="20">
        <v>41668.49</v>
      </c>
      <c r="J174" s="20">
        <v>71674.179999999993</v>
      </c>
      <c r="K174" s="20">
        <v>28121.279999999999</v>
      </c>
      <c r="L174" s="20">
        <v>41299.47</v>
      </c>
      <c r="M174" s="20">
        <v>12886.37</v>
      </c>
      <c r="N174" s="20">
        <v>711.5625</v>
      </c>
      <c r="O174" s="20">
        <v>48025.2094</v>
      </c>
      <c r="P174" s="36"/>
      <c r="Q174" s="2">
        <f>SUM(OSRRefD21_1_6x)+IFERROR(SUM(OSRRefE21_1_6x),0)</f>
        <v>454936.25189999997</v>
      </c>
    </row>
    <row r="175" spans="1:17" s="34" customFormat="1" hidden="1" outlineLevel="1" x14ac:dyDescent="0.25">
      <c r="A175" s="35"/>
      <c r="B175" s="10" t="str">
        <f>CONCATENATE("          ","6008", " - ","STUDENT HOURLY-FICA EXEMPT")</f>
        <v xml:space="preserve">          6008 - STUDENT HOURLY-FICA EXEMPT</v>
      </c>
      <c r="C175" s="11"/>
      <c r="D175" s="20"/>
      <c r="E175" s="20">
        <v>1049.3599999999999</v>
      </c>
      <c r="F175" s="20">
        <v>4985.3599999999997</v>
      </c>
      <c r="G175" s="20">
        <v>6509.5</v>
      </c>
      <c r="H175" s="20">
        <v>3207</v>
      </c>
      <c r="I175" s="20">
        <v>2582.67</v>
      </c>
      <c r="J175" s="20">
        <v>1835.68</v>
      </c>
      <c r="K175" s="20">
        <v>1672.44</v>
      </c>
      <c r="L175" s="20">
        <v>1112.3699999999999</v>
      </c>
      <c r="M175" s="20">
        <v>1590.33</v>
      </c>
      <c r="N175" s="20">
        <v>56326.2817</v>
      </c>
      <c r="O175" s="20">
        <v>0</v>
      </c>
      <c r="P175" s="36"/>
      <c r="Q175" s="2">
        <f>SUM(OSRRefD21_1_7x)+IFERROR(SUM(OSRRefE21_1_7x),0)</f>
        <v>80870.991699999999</v>
      </c>
    </row>
    <row r="176" spans="1:17" s="34" customFormat="1" hidden="1" outlineLevel="1" x14ac:dyDescent="0.25">
      <c r="A176" s="35"/>
      <c r="B176" s="10" t="str">
        <f>CONCATENATE("          ","6009", " - ","TEMPORARY-SEASONAL")</f>
        <v xml:space="preserve">          6009 - TEMPORARY-SEASONAL</v>
      </c>
      <c r="C176" s="11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>
        <v>0</v>
      </c>
      <c r="O176" s="20">
        <v>0</v>
      </c>
      <c r="P176" s="36"/>
      <c r="Q176" s="2">
        <f>SUM(OSRRefD21_1_8x)+IFERROR(SUM(OSRRefE21_1_8x),0)</f>
        <v>0</v>
      </c>
    </row>
    <row r="177" spans="1:17" s="34" customFormat="1" hidden="1" outlineLevel="1" x14ac:dyDescent="0.25">
      <c r="A177" s="35"/>
      <c r="B177" s="10" t="str">
        <f>CONCATENATE("          ","6010", " - ","GRATUITY")</f>
        <v xml:space="preserve">          6010 - GRATUITY</v>
      </c>
      <c r="C177" s="11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>
        <v>0</v>
      </c>
      <c r="O177" s="20">
        <v>0</v>
      </c>
      <c r="P177" s="36"/>
      <c r="Q177" s="2">
        <f>SUM(OSRRefD21_1_9x)+IFERROR(SUM(OSRRefE21_1_9x),0)</f>
        <v>0</v>
      </c>
    </row>
    <row r="178" spans="1:17" s="34" customFormat="1" collapsed="1" x14ac:dyDescent="0.25">
      <c r="A178" s="35"/>
      <c r="B178" s="11" t="str">
        <f>CONCATENATE("     ","Advertising/Promo                                 ")</f>
        <v xml:space="preserve">     Advertising/Promo                                 </v>
      </c>
      <c r="C178" s="11"/>
      <c r="D178" s="1">
        <f>SUM(OSRRefD21_2x_0)</f>
        <v>3510.94</v>
      </c>
      <c r="E178" s="1">
        <f>SUM(OSRRefD21_2x_1)</f>
        <v>10215.11</v>
      </c>
      <c r="F178" s="1">
        <f>SUM(OSRRefD21_2x_2)</f>
        <v>441</v>
      </c>
      <c r="G178" s="1">
        <f>SUM(OSRRefD21_2x_3)</f>
        <v>1331.21</v>
      </c>
      <c r="H178" s="1">
        <f>SUM(OSRRefD21_2x_4)</f>
        <v>664.68</v>
      </c>
      <c r="I178" s="1">
        <f>SUM(OSRRefD21_2x_5)</f>
        <v>351.4</v>
      </c>
      <c r="J178" s="1">
        <f>SUM(OSRRefD21_2x_6)</f>
        <v>1703.25</v>
      </c>
      <c r="K178" s="1">
        <f>SUM(OSRRefD21_2x_7)</f>
        <v>193.13</v>
      </c>
      <c r="L178" s="1">
        <f>SUM(OSRRefD21_2x_8)</f>
        <v>228.62</v>
      </c>
      <c r="M178" s="1">
        <f>SUM(OSRRefD21_2x_9)</f>
        <v>1531.18</v>
      </c>
      <c r="N178" s="1">
        <f>SUM(OSRRefE21_2x_0)</f>
        <v>1319</v>
      </c>
      <c r="O178" s="1">
        <f>SUM(OSRRefE21_2x_1)</f>
        <v>869</v>
      </c>
      <c r="Q178" s="2">
        <f>SUM(OSRRefD20_2x)+IFERROR(SUM(OSRRefE20_2x),0)</f>
        <v>22358.520000000004</v>
      </c>
    </row>
    <row r="179" spans="1:17" s="34" customFormat="1" hidden="1" outlineLevel="1" x14ac:dyDescent="0.25">
      <c r="A179" s="35"/>
      <c r="B179" s="10" t="str">
        <f>CONCATENATE("          ","6362", " - ","ADVERTISING EXPENSE")</f>
        <v xml:space="preserve">          6362 - ADVERTISING EXPENSE</v>
      </c>
      <c r="C179" s="11"/>
      <c r="D179" s="20">
        <v>3510.94</v>
      </c>
      <c r="E179" s="20">
        <v>10215.11</v>
      </c>
      <c r="F179" s="20">
        <v>441</v>
      </c>
      <c r="G179" s="20">
        <v>1331.21</v>
      </c>
      <c r="H179" s="20">
        <v>664.68</v>
      </c>
      <c r="I179" s="20">
        <v>351.4</v>
      </c>
      <c r="J179" s="20">
        <v>1703.25</v>
      </c>
      <c r="K179" s="20">
        <v>193.13</v>
      </c>
      <c r="L179" s="20">
        <v>228.62</v>
      </c>
      <c r="M179" s="20">
        <v>1531.18</v>
      </c>
      <c r="N179" s="20">
        <v>1319</v>
      </c>
      <c r="O179" s="20">
        <v>869</v>
      </c>
      <c r="P179" s="36"/>
      <c r="Q179" s="2">
        <f>SUM(OSRRefD21_2_0x)+IFERROR(SUM(OSRRefE21_2_0x),0)</f>
        <v>22358.520000000004</v>
      </c>
    </row>
    <row r="180" spans="1:17" s="34" customFormat="1" collapsed="1" x14ac:dyDescent="0.25">
      <c r="A180" s="35"/>
      <c r="B180" s="11" t="str">
        <f>CONCATENATE("     ","Bad Debts/Over/Short                              ")</f>
        <v xml:space="preserve">     Bad Debts/Over/Short                              </v>
      </c>
      <c r="C180" s="11"/>
      <c r="D180" s="1">
        <f>SUM(OSRRefD21_3x_0)</f>
        <v>4.9800000000000004</v>
      </c>
      <c r="E180" s="1">
        <f>SUM(OSRRefD21_3x_1)</f>
        <v>102.42</v>
      </c>
      <c r="F180" s="1">
        <f>SUM(OSRRefD21_3x_2)</f>
        <v>-155.86000000000001</v>
      </c>
      <c r="G180" s="1">
        <f>SUM(OSRRefD21_3x_3)</f>
        <v>1510.35</v>
      </c>
      <c r="H180" s="1">
        <f>SUM(OSRRefD21_3x_4)</f>
        <v>-1330.49</v>
      </c>
      <c r="I180" s="1">
        <f>SUM(OSRRefD21_3x_5)</f>
        <v>-3.6</v>
      </c>
      <c r="J180" s="1">
        <f>SUM(OSRRefD21_3x_6)</f>
        <v>1872.1</v>
      </c>
      <c r="K180" s="1">
        <f>SUM(OSRRefD21_3x_7)</f>
        <v>3266.2</v>
      </c>
      <c r="L180" s="1">
        <f>SUM(OSRRefD21_3x_8)</f>
        <v>-16.899999999999999</v>
      </c>
      <c r="M180" s="1">
        <f>SUM(OSRRefD21_3x_9)</f>
        <v>-0.67</v>
      </c>
      <c r="N180" s="1">
        <f>SUM(OSRRefE21_3x_0)</f>
        <v>111</v>
      </c>
      <c r="O180" s="1">
        <f>SUM(OSRRefE21_3x_1)</f>
        <v>95</v>
      </c>
      <c r="Q180" s="2">
        <f>SUM(OSRRefD20_3x)+IFERROR(SUM(OSRRefE20_3x),0)</f>
        <v>5454.53</v>
      </c>
    </row>
    <row r="181" spans="1:17" s="34" customFormat="1" hidden="1" outlineLevel="1" x14ac:dyDescent="0.25">
      <c r="A181" s="35"/>
      <c r="B181" s="10" t="str">
        <f>CONCATENATE("          ","6272", " - ","CASH (OVER/SHORT)")</f>
        <v xml:space="preserve">          6272 - CASH (OVER/SHORT)</v>
      </c>
      <c r="C181" s="11"/>
      <c r="D181" s="20">
        <v>4.9800000000000004</v>
      </c>
      <c r="E181" s="20">
        <v>102.42</v>
      </c>
      <c r="F181" s="20">
        <v>-155.86000000000001</v>
      </c>
      <c r="G181" s="20">
        <v>1510.35</v>
      </c>
      <c r="H181" s="20">
        <v>-1330.49</v>
      </c>
      <c r="I181" s="20">
        <v>-3.6</v>
      </c>
      <c r="J181" s="20">
        <v>-124.68</v>
      </c>
      <c r="K181" s="20">
        <v>-86.44</v>
      </c>
      <c r="L181" s="20">
        <v>-16.899999999999999</v>
      </c>
      <c r="M181" s="20">
        <v>-0.67</v>
      </c>
      <c r="N181" s="20">
        <v>81</v>
      </c>
      <c r="O181" s="20">
        <v>65</v>
      </c>
      <c r="P181" s="36"/>
      <c r="Q181" s="2">
        <f>SUM(OSRRefD21_3_0x)+IFERROR(SUM(OSRRefE21_3_0x),0)</f>
        <v>45.109999999999857</v>
      </c>
    </row>
    <row r="182" spans="1:17" s="34" customFormat="1" hidden="1" outlineLevel="1" x14ac:dyDescent="0.25">
      <c r="A182" s="35"/>
      <c r="B182" s="10" t="str">
        <f>CONCATENATE("          ","6342", " - ","BAD DEBT")</f>
        <v xml:space="preserve">          6342 - BAD DEBT</v>
      </c>
      <c r="C182" s="11"/>
      <c r="D182" s="20"/>
      <c r="E182" s="20"/>
      <c r="F182" s="20"/>
      <c r="G182" s="20"/>
      <c r="H182" s="20"/>
      <c r="I182" s="20"/>
      <c r="J182" s="20">
        <v>1996.78</v>
      </c>
      <c r="K182" s="20">
        <v>3352.64</v>
      </c>
      <c r="L182" s="20"/>
      <c r="M182" s="20"/>
      <c r="N182" s="20">
        <v>30</v>
      </c>
      <c r="O182" s="20">
        <v>30</v>
      </c>
      <c r="P182" s="36"/>
      <c r="Q182" s="2">
        <f>SUM(OSRRefD21_3_1x)+IFERROR(SUM(OSRRefE21_3_1x),0)</f>
        <v>5409.42</v>
      </c>
    </row>
    <row r="183" spans="1:17" s="34" customFormat="1" collapsed="1" x14ac:dyDescent="0.25">
      <c r="A183" s="35"/>
      <c r="B183" s="11" t="str">
        <f>CONCATENATE("     ","Bank/card Fees                                    ")</f>
        <v xml:space="preserve">     Bank/card Fees                                    </v>
      </c>
      <c r="C183" s="11"/>
      <c r="D183" s="1">
        <f>SUM(OSRRefD21_4x_0)</f>
        <v>3706.36</v>
      </c>
      <c r="E183" s="1">
        <f>SUM(OSRRefD21_4x_1)</f>
        <v>22597.51</v>
      </c>
      <c r="F183" s="1">
        <f>SUM(OSRRefD21_4x_2)</f>
        <v>9747.83</v>
      </c>
      <c r="G183" s="1">
        <f>SUM(OSRRefD21_4x_3)</f>
        <v>5909.57</v>
      </c>
      <c r="H183" s="1">
        <f>SUM(OSRRefD21_4x_4)</f>
        <v>3459.98</v>
      </c>
      <c r="I183" s="1">
        <f>SUM(OSRRefD21_4x_5)</f>
        <v>6198.4</v>
      </c>
      <c r="J183" s="1">
        <f>SUM(OSRRefD21_4x_6)</f>
        <v>15972.03</v>
      </c>
      <c r="K183" s="1">
        <f>SUM(OSRRefD21_4x_7)</f>
        <v>4877.83</v>
      </c>
      <c r="L183" s="1">
        <f>SUM(OSRRefD21_4x_8)</f>
        <v>4821.8</v>
      </c>
      <c r="M183" s="1">
        <f>SUM(OSRRefD21_4x_9)</f>
        <v>7142.6</v>
      </c>
      <c r="N183" s="1">
        <f>SUM(OSRRefE21_4x_0)</f>
        <v>7097</v>
      </c>
      <c r="O183" s="1">
        <f>SUM(OSRRefE21_4x_1)</f>
        <v>3326</v>
      </c>
      <c r="Q183" s="2">
        <f>SUM(OSRRefD20_4x)+IFERROR(SUM(OSRRefE20_4x),0)</f>
        <v>94856.910000000018</v>
      </c>
    </row>
    <row r="184" spans="1:17" s="34" customFormat="1" hidden="1" outlineLevel="1" x14ac:dyDescent="0.25">
      <c r="A184" s="35"/>
      <c r="B184" s="10" t="str">
        <f>CONCATENATE("          ","6381", " - ","BANK/CREDIT CARD FEES")</f>
        <v xml:space="preserve">          6381 - BANK/CREDIT CARD FEES</v>
      </c>
      <c r="C184" s="11"/>
      <c r="D184" s="20">
        <v>3706.36</v>
      </c>
      <c r="E184" s="20">
        <v>22597.51</v>
      </c>
      <c r="F184" s="20">
        <v>9747.83</v>
      </c>
      <c r="G184" s="20">
        <v>5909.57</v>
      </c>
      <c r="H184" s="20">
        <v>3459.98</v>
      </c>
      <c r="I184" s="20">
        <v>6198.4</v>
      </c>
      <c r="J184" s="20">
        <v>15972.03</v>
      </c>
      <c r="K184" s="20">
        <v>4877.83</v>
      </c>
      <c r="L184" s="20">
        <v>4821.8</v>
      </c>
      <c r="M184" s="20">
        <v>7142.6</v>
      </c>
      <c r="N184" s="20">
        <v>7097</v>
      </c>
      <c r="O184" s="20">
        <v>3326</v>
      </c>
      <c r="P184" s="36"/>
      <c r="Q184" s="2">
        <f>SUM(OSRRefD21_4_0x)+IFERROR(SUM(OSRRefE21_4_0x),0)</f>
        <v>94856.910000000018</v>
      </c>
    </row>
    <row r="185" spans="1:17" s="34" customFormat="1" collapsed="1" x14ac:dyDescent="0.25">
      <c r="A185" s="35"/>
      <c r="B185" s="11" t="str">
        <f>CONCATENATE("     ","Depreciation                                      ")</f>
        <v xml:space="preserve">     Depreciation                                      </v>
      </c>
      <c r="C185" s="11"/>
      <c r="D185" s="1">
        <f>SUM(OSRRefD21_5x_0)</f>
        <v>77387.06</v>
      </c>
      <c r="E185" s="1">
        <f>SUM(OSRRefD21_5x_1)</f>
        <v>79107.78</v>
      </c>
      <c r="F185" s="1">
        <f>SUM(OSRRefD21_5x_2)</f>
        <v>79051.19</v>
      </c>
      <c r="G185" s="1">
        <f>SUM(OSRRefD21_5x_3)</f>
        <v>77816.38</v>
      </c>
      <c r="H185" s="1">
        <f>SUM(OSRRefD21_5x_4)</f>
        <v>77647.64</v>
      </c>
      <c r="I185" s="1">
        <f>SUM(OSRRefD21_5x_5)</f>
        <v>77647.64</v>
      </c>
      <c r="J185" s="1">
        <f>SUM(OSRRefD21_5x_6)</f>
        <v>77647.64</v>
      </c>
      <c r="K185" s="1">
        <f>SUM(OSRRefD21_5x_7)</f>
        <v>77647.64</v>
      </c>
      <c r="L185" s="1">
        <f>SUM(OSRRefD21_5x_8)</f>
        <v>77647.64</v>
      </c>
      <c r="M185" s="1">
        <f>SUM(OSRRefD21_5x_9)</f>
        <v>77647.64</v>
      </c>
      <c r="N185" s="1">
        <f>SUM(OSRRefE21_5x_0)</f>
        <v>77087</v>
      </c>
      <c r="O185" s="1">
        <f>SUM(OSRRefE21_5x_1)</f>
        <v>74530</v>
      </c>
      <c r="Q185" s="2">
        <f>SUM(OSRRefD20_5x)+IFERROR(SUM(OSRRefE20_5x),0)</f>
        <v>930865.25000000012</v>
      </c>
    </row>
    <row r="186" spans="1:17" s="34" customFormat="1" hidden="1" outlineLevel="1" x14ac:dyDescent="0.25">
      <c r="A186" s="35"/>
      <c r="B186" s="10" t="str">
        <f>CONCATENATE("          ","6321", " - ","BUILDING DEPRECIATION")</f>
        <v xml:space="preserve">          6321 - BUILDING DEPRECIATION</v>
      </c>
      <c r="C186" s="11"/>
      <c r="D186" s="20">
        <v>45321.919999999998</v>
      </c>
      <c r="E186" s="20">
        <v>45321.919999999998</v>
      </c>
      <c r="F186" s="20">
        <v>45321.91</v>
      </c>
      <c r="G186" s="20">
        <v>45060.52</v>
      </c>
      <c r="H186" s="20">
        <v>45060.52</v>
      </c>
      <c r="I186" s="20">
        <v>45060.52</v>
      </c>
      <c r="J186" s="20">
        <v>45060.52</v>
      </c>
      <c r="K186" s="20">
        <v>45060.52</v>
      </c>
      <c r="L186" s="20">
        <v>45060.52</v>
      </c>
      <c r="M186" s="20">
        <v>45060.52</v>
      </c>
      <c r="N186" s="20"/>
      <c r="O186" s="20"/>
      <c r="P186" s="36"/>
      <c r="Q186" s="2">
        <f>SUM(OSRRefD21_5_0x)+IFERROR(SUM(OSRRefE21_5_0x),0)</f>
        <v>451389.39000000007</v>
      </c>
    </row>
    <row r="187" spans="1:17" s="34" customFormat="1" hidden="1" outlineLevel="1" x14ac:dyDescent="0.25">
      <c r="A187" s="35"/>
      <c r="B187" s="10" t="str">
        <f>CONCATENATE("          ","6322", " - ","EQUIPMENT DEPRECIATION EXPENSE")</f>
        <v xml:space="preserve">          6322 - EQUIPMENT DEPRECIATION EXPENSE</v>
      </c>
      <c r="C187" s="11"/>
      <c r="D187" s="20">
        <v>32065.14</v>
      </c>
      <c r="E187" s="20">
        <v>33785.86</v>
      </c>
      <c r="F187" s="20">
        <v>33729.279999999999</v>
      </c>
      <c r="G187" s="20">
        <v>32755.86</v>
      </c>
      <c r="H187" s="20">
        <v>32587.119999999999</v>
      </c>
      <c r="I187" s="20">
        <v>32587.119999999999</v>
      </c>
      <c r="J187" s="20">
        <v>32587.119999999999</v>
      </c>
      <c r="K187" s="20">
        <v>32587.119999999999</v>
      </c>
      <c r="L187" s="20">
        <v>32587.119999999999</v>
      </c>
      <c r="M187" s="20">
        <v>32587.119999999999</v>
      </c>
      <c r="N187" s="20">
        <v>76537</v>
      </c>
      <c r="O187" s="20">
        <v>73980</v>
      </c>
      <c r="P187" s="36"/>
      <c r="Q187" s="2">
        <f>SUM(OSRRefD21_5_1x)+IFERROR(SUM(OSRRefE21_5_1x),0)</f>
        <v>478375.86</v>
      </c>
    </row>
    <row r="188" spans="1:17" s="34" customFormat="1" hidden="1" outlineLevel="1" x14ac:dyDescent="0.25">
      <c r="A188" s="35"/>
      <c r="B188" s="10" t="str">
        <f>CONCATENATE("          ","6326", " - ","VEHICLES DEPRECIATION EXPENSE")</f>
        <v xml:space="preserve">          6326 - VEHICLES DEPRECIATION EXPENSE</v>
      </c>
      <c r="C188" s="11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>
        <v>550</v>
      </c>
      <c r="O188" s="20">
        <v>550</v>
      </c>
      <c r="P188" s="36"/>
      <c r="Q188" s="2">
        <f>SUM(OSRRefD21_5_2x)+IFERROR(SUM(OSRRefE21_5_2x),0)</f>
        <v>1100</v>
      </c>
    </row>
    <row r="189" spans="1:17" s="34" customFormat="1" collapsed="1" x14ac:dyDescent="0.25">
      <c r="A189" s="35"/>
      <c r="B189" s="11" t="str">
        <f>CONCATENATE("     ","Discounts and Markdowns                           ")</f>
        <v xml:space="preserve">     Discounts and Markdowns                           </v>
      </c>
      <c r="C189" s="11"/>
      <c r="D189" s="1">
        <f>SUM(OSRRefD21_6x_0)</f>
        <v>0</v>
      </c>
      <c r="E189" s="1">
        <f>SUM(OSRRefD21_6x_1)</f>
        <v>0</v>
      </c>
      <c r="F189" s="1">
        <f>SUM(OSRRefD21_6x_2)</f>
        <v>830.95</v>
      </c>
      <c r="G189" s="1">
        <f>SUM(OSRRefD21_6x_3)</f>
        <v>-1249.8000000000002</v>
      </c>
      <c r="H189" s="1">
        <f>SUM(OSRRefD21_6x_4)</f>
        <v>418.85</v>
      </c>
      <c r="I189" s="1">
        <f>SUM(OSRRefD21_6x_5)</f>
        <v>0</v>
      </c>
      <c r="J189" s="1">
        <f>SUM(OSRRefD21_6x_6)</f>
        <v>-42.86</v>
      </c>
      <c r="K189" s="1">
        <f>SUM(OSRRefD21_6x_7)</f>
        <v>42.86</v>
      </c>
      <c r="L189" s="1">
        <f>SUM(OSRRefD21_6x_8)</f>
        <v>0</v>
      </c>
      <c r="M189" s="1">
        <f>SUM(OSRRefD21_6x_9)</f>
        <v>-15.43</v>
      </c>
      <c r="N189" s="1">
        <f>SUM(OSRRefE21_6x_0)</f>
        <v>2743</v>
      </c>
      <c r="O189" s="1">
        <f>SUM(OSRRefE21_6x_1)</f>
        <v>5614</v>
      </c>
      <c r="Q189" s="2">
        <f>SUM(OSRRefD20_6x)+IFERROR(SUM(OSRRefE20_6x),0)</f>
        <v>8341.57</v>
      </c>
    </row>
    <row r="190" spans="1:17" s="34" customFormat="1" hidden="1" outlineLevel="1" x14ac:dyDescent="0.25">
      <c r="A190" s="35"/>
      <c r="B190" s="10" t="str">
        <f>CONCATENATE("          ","6382", " - ","DISCOUNTS/MARK DOWNS")</f>
        <v xml:space="preserve">          6382 - DISCOUNTS/MARK DOWNS</v>
      </c>
      <c r="C190" s="11"/>
      <c r="D190" s="20">
        <v>0</v>
      </c>
      <c r="E190" s="20">
        <v>0</v>
      </c>
      <c r="F190" s="20">
        <v>830.95</v>
      </c>
      <c r="G190" s="20">
        <v>-830.95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2743</v>
      </c>
      <c r="O190" s="20">
        <v>5614</v>
      </c>
      <c r="P190" s="36"/>
      <c r="Q190" s="2">
        <f>SUM(OSRRefD21_6_0x)+IFERROR(SUM(OSRRefE21_6_0x),0)</f>
        <v>8357</v>
      </c>
    </row>
    <row r="191" spans="1:17" s="34" customFormat="1" hidden="1" outlineLevel="1" x14ac:dyDescent="0.25">
      <c r="A191" s="35"/>
      <c r="B191" s="10" t="str">
        <f>CONCATENATE("          ","9175", " - ","EARNED DISCOUNTS")</f>
        <v xml:space="preserve">          9175 - EARNED DISCOUNTS</v>
      </c>
      <c r="C191" s="11"/>
      <c r="D191" s="20"/>
      <c r="E191" s="20"/>
      <c r="F191" s="20"/>
      <c r="G191" s="20">
        <v>-418.85</v>
      </c>
      <c r="H191" s="20">
        <v>418.85</v>
      </c>
      <c r="I191" s="20"/>
      <c r="J191" s="20">
        <v>-42.86</v>
      </c>
      <c r="K191" s="20">
        <v>42.86</v>
      </c>
      <c r="L191" s="20">
        <v>0</v>
      </c>
      <c r="M191" s="20">
        <v>-15.43</v>
      </c>
      <c r="N191" s="20"/>
      <c r="O191" s="20"/>
      <c r="P191" s="36"/>
      <c r="Q191" s="2">
        <f>SUM(OSRRefD21_6_1x)+IFERROR(SUM(OSRRefE21_6_1x),0)</f>
        <v>-15.43</v>
      </c>
    </row>
    <row r="192" spans="1:17" s="34" customFormat="1" collapsed="1" x14ac:dyDescent="0.25">
      <c r="A192" s="35"/>
      <c r="B192" s="11" t="str">
        <f>CONCATENATE("     ","Donations                                         ")</f>
        <v xml:space="preserve">     Donations                                         </v>
      </c>
      <c r="C192" s="11"/>
      <c r="D192" s="1">
        <f>SUM(OSRRefD21_7x_0)</f>
        <v>0</v>
      </c>
      <c r="E192" s="1">
        <f>SUM(OSRRefD21_7x_1)</f>
        <v>2222.02</v>
      </c>
      <c r="F192" s="1">
        <f>SUM(OSRRefD21_7x_2)</f>
        <v>8888.07</v>
      </c>
      <c r="G192" s="1">
        <f>SUM(OSRRefD21_7x_3)</f>
        <v>11110.09</v>
      </c>
      <c r="H192" s="1">
        <f>SUM(OSRRefD21_7x_4)</f>
        <v>7935.78</v>
      </c>
      <c r="I192" s="1">
        <f>SUM(OSRRefD21_7x_5)</f>
        <v>6666.05</v>
      </c>
      <c r="J192" s="1">
        <f>SUM(OSRRefD21_7x_6)</f>
        <v>1459.14</v>
      </c>
      <c r="K192" s="1">
        <f>SUM(OSRRefD21_7x_7)</f>
        <v>5361.28</v>
      </c>
      <c r="L192" s="1">
        <f>SUM(OSRRefD21_7x_8)</f>
        <v>7337.33</v>
      </c>
      <c r="M192" s="1">
        <f>SUM(OSRRefD21_7x_9)</f>
        <v>7686.78</v>
      </c>
      <c r="N192" s="1">
        <f>SUM(OSRRefE21_7x_0)</f>
        <v>8100</v>
      </c>
      <c r="O192" s="1">
        <f>SUM(OSRRefE21_7x_1)</f>
        <v>0</v>
      </c>
      <c r="Q192" s="2">
        <f>SUM(OSRRefD20_7x)+IFERROR(SUM(OSRRefE20_7x),0)</f>
        <v>66766.540000000008</v>
      </c>
    </row>
    <row r="193" spans="1:17" s="34" customFormat="1" hidden="1" outlineLevel="1" x14ac:dyDescent="0.25">
      <c r="A193" s="35"/>
      <c r="B193" s="10" t="str">
        <f>CONCATENATE("          ","6399", " - ","DONATION-ON CAMPUS")</f>
        <v xml:space="preserve">          6399 - DONATION-ON CAMPUS</v>
      </c>
      <c r="C193" s="11"/>
      <c r="D193" s="20"/>
      <c r="E193" s="20">
        <v>2222.02</v>
      </c>
      <c r="F193" s="20">
        <v>8888.07</v>
      </c>
      <c r="G193" s="20">
        <v>11110.09</v>
      </c>
      <c r="H193" s="20">
        <v>7935.78</v>
      </c>
      <c r="I193" s="20">
        <v>6666.05</v>
      </c>
      <c r="J193" s="20">
        <v>1459.14</v>
      </c>
      <c r="K193" s="20">
        <v>5361.28</v>
      </c>
      <c r="L193" s="20">
        <v>7337.33</v>
      </c>
      <c r="M193" s="20">
        <v>7686.78</v>
      </c>
      <c r="N193" s="20">
        <v>8100</v>
      </c>
      <c r="O193" s="20">
        <v>0</v>
      </c>
      <c r="P193" s="36"/>
      <c r="Q193" s="2">
        <f>SUM(OSRRefD21_7_0x)+IFERROR(SUM(OSRRefE21_7_0x),0)</f>
        <v>66766.540000000008</v>
      </c>
    </row>
    <row r="194" spans="1:17" s="34" customFormat="1" collapsed="1" x14ac:dyDescent="0.25">
      <c r="A194" s="35"/>
      <c r="B194" s="11" t="str">
        <f>CONCATENATE("     ","Employees' Appreciation                           ")</f>
        <v xml:space="preserve">     Employees' Appreciation                           </v>
      </c>
      <c r="C194" s="11"/>
      <c r="D194" s="1">
        <f>SUM(OSRRefD21_8x_0)</f>
        <v>107.7</v>
      </c>
      <c r="E194" s="1">
        <f>SUM(OSRRefD21_8x_1)</f>
        <v>0</v>
      </c>
      <c r="F194" s="1">
        <f>SUM(OSRRefD21_8x_2)</f>
        <v>0</v>
      </c>
      <c r="G194" s="1">
        <f>SUM(OSRRefD21_8x_3)</f>
        <v>0</v>
      </c>
      <c r="H194" s="1">
        <f>SUM(OSRRefD21_8x_4)</f>
        <v>0</v>
      </c>
      <c r="I194" s="1">
        <f>SUM(OSRRefD21_8x_5)</f>
        <v>10</v>
      </c>
      <c r="J194" s="1">
        <f>SUM(OSRRefD21_8x_6)</f>
        <v>78.33</v>
      </c>
      <c r="K194" s="1">
        <f>SUM(OSRRefD21_8x_7)</f>
        <v>0</v>
      </c>
      <c r="L194" s="1">
        <f>SUM(OSRRefD21_8x_8)</f>
        <v>0</v>
      </c>
      <c r="M194" s="1">
        <f>SUM(OSRRefD21_8x_9)</f>
        <v>0</v>
      </c>
      <c r="N194" s="1">
        <f>SUM(OSRRefE21_8x_0)</f>
        <v>440</v>
      </c>
      <c r="O194" s="1">
        <f>SUM(OSRRefE21_8x_1)</f>
        <v>290</v>
      </c>
      <c r="Q194" s="2">
        <f>SUM(OSRRefD20_8x)+IFERROR(SUM(OSRRefE20_8x),0)</f>
        <v>926.03</v>
      </c>
    </row>
    <row r="195" spans="1:17" s="34" customFormat="1" hidden="1" outlineLevel="1" x14ac:dyDescent="0.25">
      <c r="A195" s="35"/>
      <c r="B195" s="10" t="str">
        <f>CONCATENATE("          ","6277", " - ","EMPLOYEE APPRECIATION")</f>
        <v xml:space="preserve">          6277 - EMPLOYEE APPRECIATION</v>
      </c>
      <c r="C195" s="11"/>
      <c r="D195" s="20">
        <v>107.7</v>
      </c>
      <c r="E195" s="20"/>
      <c r="F195" s="20"/>
      <c r="G195" s="20"/>
      <c r="H195" s="20"/>
      <c r="I195" s="20">
        <v>10</v>
      </c>
      <c r="J195" s="20">
        <v>78.33</v>
      </c>
      <c r="K195" s="20">
        <v>0</v>
      </c>
      <c r="L195" s="20"/>
      <c r="M195" s="20"/>
      <c r="N195" s="20">
        <v>440</v>
      </c>
      <c r="O195" s="20">
        <v>290</v>
      </c>
      <c r="P195" s="36"/>
      <c r="Q195" s="2">
        <f>SUM(OSRRefD21_8_0x)+IFERROR(SUM(OSRRefE21_8_0x),0)</f>
        <v>926.03</v>
      </c>
    </row>
    <row r="196" spans="1:17" s="34" customFormat="1" collapsed="1" x14ac:dyDescent="0.25">
      <c r="A196" s="35"/>
      <c r="B196" s="11" t="str">
        <f>CONCATENATE("     ","Equipment Rental                                  ")</f>
        <v xml:space="preserve">     Equipment Rental                                  </v>
      </c>
      <c r="C196" s="11"/>
      <c r="D196" s="1">
        <f>SUM(OSRRefD21_9x_0)</f>
        <v>2638.66</v>
      </c>
      <c r="E196" s="1">
        <f>SUM(OSRRefD21_9x_1)</f>
        <v>2227.17</v>
      </c>
      <c r="F196" s="1">
        <f>SUM(OSRRefD21_9x_2)</f>
        <v>2597.83</v>
      </c>
      <c r="G196" s="1">
        <f>SUM(OSRRefD21_9x_3)</f>
        <v>4077.27</v>
      </c>
      <c r="H196" s="1">
        <f>SUM(OSRRefD21_9x_4)</f>
        <v>2755.22</v>
      </c>
      <c r="I196" s="1">
        <f>SUM(OSRRefD21_9x_5)</f>
        <v>2069.89</v>
      </c>
      <c r="J196" s="1">
        <f>SUM(OSRRefD21_9x_6)</f>
        <v>2009.31</v>
      </c>
      <c r="K196" s="1">
        <f>SUM(OSRRefD21_9x_7)</f>
        <v>2772.7</v>
      </c>
      <c r="L196" s="1">
        <f>SUM(OSRRefD21_9x_8)</f>
        <v>2177.06</v>
      </c>
      <c r="M196" s="1">
        <f>SUM(OSRRefD21_9x_9)</f>
        <v>3055.41</v>
      </c>
      <c r="N196" s="1">
        <f>SUM(OSRRefE21_9x_0)</f>
        <v>2988</v>
      </c>
      <c r="O196" s="1">
        <f>SUM(OSRRefE21_9x_1)</f>
        <v>2937</v>
      </c>
      <c r="Q196" s="2">
        <f>SUM(OSRRefD20_9x)+IFERROR(SUM(OSRRefE20_9x),0)</f>
        <v>32305.52</v>
      </c>
    </row>
    <row r="197" spans="1:17" s="34" customFormat="1" hidden="1" outlineLevel="1" x14ac:dyDescent="0.25">
      <c r="A197" s="35"/>
      <c r="B197" s="10" t="str">
        <f>CONCATENATE("          ","6351", " - ","EQUIPMENT RENTAL")</f>
        <v xml:space="preserve">          6351 - EQUIPMENT RENTAL</v>
      </c>
      <c r="C197" s="11"/>
      <c r="D197" s="20">
        <v>2638.66</v>
      </c>
      <c r="E197" s="20">
        <v>2227.17</v>
      </c>
      <c r="F197" s="20">
        <v>2597.83</v>
      </c>
      <c r="G197" s="20">
        <v>4077.27</v>
      </c>
      <c r="H197" s="20">
        <v>2755.22</v>
      </c>
      <c r="I197" s="20">
        <v>2069.89</v>
      </c>
      <c r="J197" s="20">
        <v>2009.31</v>
      </c>
      <c r="K197" s="20">
        <v>2772.7</v>
      </c>
      <c r="L197" s="20">
        <v>2177.06</v>
      </c>
      <c r="M197" s="20">
        <v>3055.41</v>
      </c>
      <c r="N197" s="20">
        <v>2988</v>
      </c>
      <c r="O197" s="20">
        <v>2937</v>
      </c>
      <c r="P197" s="36"/>
      <c r="Q197" s="2">
        <f>SUM(OSRRefD21_9_0x)+IFERROR(SUM(OSRRefE21_9_0x),0)</f>
        <v>32305.52</v>
      </c>
    </row>
    <row r="198" spans="1:17" s="34" customFormat="1" collapsed="1" x14ac:dyDescent="0.25">
      <c r="A198" s="35"/>
      <c r="B198" s="11" t="str">
        <f>CONCATENATE("     ","Freight out/Postage                               ")</f>
        <v xml:space="preserve">     Freight out/Postage                               </v>
      </c>
      <c r="C198" s="11"/>
      <c r="D198" s="1">
        <f>SUM(OSRRefD21_10x_0)</f>
        <v>8939.26</v>
      </c>
      <c r="E198" s="1">
        <f>SUM(OSRRefD21_10x_1)</f>
        <v>-83557.150000000009</v>
      </c>
      <c r="F198" s="1">
        <f>SUM(OSRRefD21_10x_2)</f>
        <v>-5850.9800000000005</v>
      </c>
      <c r="G198" s="1">
        <f>SUM(OSRRefD21_10x_3)</f>
        <v>49268.130000000005</v>
      </c>
      <c r="H198" s="1">
        <f>SUM(OSRRefD21_10x_4)</f>
        <v>12775.59</v>
      </c>
      <c r="I198" s="1">
        <f>SUM(OSRRefD21_10x_5)</f>
        <v>4353.43</v>
      </c>
      <c r="J198" s="1">
        <f>SUM(OSRRefD21_10x_6)</f>
        <v>-21639.420000000002</v>
      </c>
      <c r="K198" s="1">
        <f>SUM(OSRRefD21_10x_7)</f>
        <v>4344.1700000000019</v>
      </c>
      <c r="L198" s="1">
        <f>SUM(OSRRefD21_10x_8)</f>
        <v>-1278.8600000000006</v>
      </c>
      <c r="M198" s="1">
        <f>SUM(OSRRefD21_10x_9)</f>
        <v>-12454.670000000002</v>
      </c>
      <c r="N198" s="1">
        <f>SUM(OSRRefE21_10x_0)</f>
        <v>-1605</v>
      </c>
      <c r="O198" s="1">
        <f>SUM(OSRRefE21_10x_1)</f>
        <v>145</v>
      </c>
      <c r="Q198" s="2">
        <f>SUM(OSRRefD20_10x)+IFERROR(SUM(OSRRefE20_10x),0)</f>
        <v>-46560.500000000007</v>
      </c>
    </row>
    <row r="199" spans="1:17" s="34" customFormat="1" hidden="1" outlineLevel="1" x14ac:dyDescent="0.25">
      <c r="A199" s="35"/>
      <c r="B199" s="10" t="str">
        <f>CONCATENATE("          ","6305", " - ","FREIGHT OUT")</f>
        <v xml:space="preserve">          6305 - FREIGHT OUT</v>
      </c>
      <c r="C199" s="11"/>
      <c r="D199" s="20">
        <v>12094.7</v>
      </c>
      <c r="E199" s="20">
        <v>8420.09</v>
      </c>
      <c r="F199" s="20">
        <v>5418.22</v>
      </c>
      <c r="G199" s="20">
        <v>60954.65</v>
      </c>
      <c r="H199" s="20">
        <v>17095.3</v>
      </c>
      <c r="I199" s="20">
        <v>13760</v>
      </c>
      <c r="J199" s="20">
        <v>18846.8</v>
      </c>
      <c r="K199" s="20">
        <v>26356.7</v>
      </c>
      <c r="L199" s="20">
        <v>18140.46</v>
      </c>
      <c r="M199" s="20">
        <v>22724.31</v>
      </c>
      <c r="N199" s="20">
        <v>3350</v>
      </c>
      <c r="O199" s="20">
        <v>2100</v>
      </c>
      <c r="P199" s="36"/>
      <c r="Q199" s="2">
        <f>SUM(OSRRefD21_10_0x)+IFERROR(SUM(OSRRefE21_10_0x),0)</f>
        <v>209261.23</v>
      </c>
    </row>
    <row r="200" spans="1:17" s="34" customFormat="1" hidden="1" outlineLevel="1" x14ac:dyDescent="0.25">
      <c r="A200" s="35"/>
      <c r="B200" s="10" t="str">
        <f>CONCATENATE("          ","6307", " - ","POSTAGE")</f>
        <v xml:space="preserve">          6307 - POSTAGE</v>
      </c>
      <c r="C200" s="11"/>
      <c r="D200" s="20">
        <v>-3155.44</v>
      </c>
      <c r="E200" s="20">
        <v>-91977.24</v>
      </c>
      <c r="F200" s="20">
        <v>-11269.2</v>
      </c>
      <c r="G200" s="20">
        <v>-11686.52</v>
      </c>
      <c r="H200" s="20">
        <v>-4319.71</v>
      </c>
      <c r="I200" s="20">
        <v>-9406.57</v>
      </c>
      <c r="J200" s="20">
        <v>-40486.22</v>
      </c>
      <c r="K200" s="20">
        <v>-22012.53</v>
      </c>
      <c r="L200" s="20">
        <v>-19419.32</v>
      </c>
      <c r="M200" s="20">
        <v>-35178.980000000003</v>
      </c>
      <c r="N200" s="20">
        <v>-4955</v>
      </c>
      <c r="O200" s="20">
        <v>-1955</v>
      </c>
      <c r="P200" s="36"/>
      <c r="Q200" s="2">
        <f>SUM(OSRRefD21_10_1x)+IFERROR(SUM(OSRRefE21_10_1x),0)</f>
        <v>-255821.73000000004</v>
      </c>
    </row>
    <row r="201" spans="1:17" s="34" customFormat="1" collapsed="1" x14ac:dyDescent="0.25">
      <c r="A201" s="35"/>
      <c r="B201" s="11" t="str">
        <f>CONCATENATE("     ","General                                           ")</f>
        <v xml:space="preserve">     General                                           </v>
      </c>
      <c r="C201" s="11"/>
      <c r="D201" s="1">
        <f>SUM(OSRRefD21_11x_0)</f>
        <v>8780.7099999999991</v>
      </c>
      <c r="E201" s="1">
        <f>SUM(OSRRefD21_11x_1)</f>
        <v>-913.36</v>
      </c>
      <c r="F201" s="1">
        <f>SUM(OSRRefD21_11x_2)</f>
        <v>552.16999999999996</v>
      </c>
      <c r="G201" s="1">
        <f>SUM(OSRRefD21_11x_3)</f>
        <v>-40</v>
      </c>
      <c r="H201" s="1">
        <f>SUM(OSRRefD21_11x_4)</f>
        <v>4700.7299999999996</v>
      </c>
      <c r="I201" s="1">
        <f>SUM(OSRRefD21_11x_5)</f>
        <v>4229.33</v>
      </c>
      <c r="J201" s="1">
        <f>SUM(OSRRefD21_11x_6)</f>
        <v>198.64</v>
      </c>
      <c r="K201" s="1">
        <f>SUM(OSRRefD21_11x_7)</f>
        <v>1888.82</v>
      </c>
      <c r="L201" s="1">
        <f>SUM(OSRRefD21_11x_8)</f>
        <v>1537.69</v>
      </c>
      <c r="M201" s="1">
        <f>SUM(OSRRefD21_11x_9)</f>
        <v>437.84</v>
      </c>
      <c r="N201" s="1">
        <f>SUM(OSRRefE21_11x_0)</f>
        <v>2000</v>
      </c>
      <c r="O201" s="1">
        <f>SUM(OSRRefE21_11x_1)</f>
        <v>750</v>
      </c>
      <c r="Q201" s="2">
        <f>SUM(OSRRefD20_11x)+IFERROR(SUM(OSRRefE20_11x),0)</f>
        <v>24122.569999999996</v>
      </c>
    </row>
    <row r="202" spans="1:17" s="34" customFormat="1" hidden="1" outlineLevel="1" x14ac:dyDescent="0.25">
      <c r="A202" s="35"/>
      <c r="B202" s="10" t="str">
        <f>CONCATENATE("          ","6269", " - ","ENTERTAINMENT")</f>
        <v xml:space="preserve">          6269 - ENTERTAINMENT</v>
      </c>
      <c r="C202" s="11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>
        <v>1250</v>
      </c>
      <c r="O202" s="20">
        <v>0</v>
      </c>
      <c r="P202" s="36"/>
      <c r="Q202" s="2">
        <f>SUM(OSRRefD21_11_0x)+IFERROR(SUM(OSRRefE21_11_0x),0)</f>
        <v>1250</v>
      </c>
    </row>
    <row r="203" spans="1:17" s="34" customFormat="1" hidden="1" outlineLevel="1" x14ac:dyDescent="0.25">
      <c r="A203" s="35"/>
      <c r="B203" s="10" t="str">
        <f>CONCATENATE("          ","6279", " - ","GENERAL EXPENSE")</f>
        <v xml:space="preserve">          6279 - GENERAL EXPENSE</v>
      </c>
      <c r="C203" s="11"/>
      <c r="D203" s="20">
        <v>8780.7099999999991</v>
      </c>
      <c r="E203" s="20">
        <v>-913.36</v>
      </c>
      <c r="F203" s="20">
        <v>552.16999999999996</v>
      </c>
      <c r="G203" s="20">
        <v>-40</v>
      </c>
      <c r="H203" s="20">
        <v>4700.7299999999996</v>
      </c>
      <c r="I203" s="20">
        <v>4229.33</v>
      </c>
      <c r="J203" s="20">
        <v>198.64</v>
      </c>
      <c r="K203" s="20">
        <v>1888.82</v>
      </c>
      <c r="L203" s="20">
        <v>1537.69</v>
      </c>
      <c r="M203" s="20">
        <v>437.84</v>
      </c>
      <c r="N203" s="20">
        <v>750</v>
      </c>
      <c r="O203" s="20">
        <v>750</v>
      </c>
      <c r="P203" s="36"/>
      <c r="Q203" s="2">
        <f>SUM(OSRRefD21_11_1x)+IFERROR(SUM(OSRRefE21_11_1x),0)</f>
        <v>22872.569999999996</v>
      </c>
    </row>
    <row r="204" spans="1:17" s="34" customFormat="1" collapsed="1" x14ac:dyDescent="0.25">
      <c r="A204" s="35"/>
      <c r="B204" s="11" t="str">
        <f>CONCATENATE("     ","Insurance                                         ")</f>
        <v xml:space="preserve">     Insurance                                         </v>
      </c>
      <c r="C204" s="11"/>
      <c r="D204" s="1">
        <f>SUM(OSRRefD21_12x_0)</f>
        <v>8563.32</v>
      </c>
      <c r="E204" s="1">
        <f>SUM(OSRRefD21_12x_1)</f>
        <v>8563.32</v>
      </c>
      <c r="F204" s="1">
        <f>SUM(OSRRefD21_12x_2)</f>
        <v>8563.32</v>
      </c>
      <c r="G204" s="1">
        <f>SUM(OSRRefD21_12x_3)</f>
        <v>14675.32</v>
      </c>
      <c r="H204" s="1">
        <f>SUM(OSRRefD21_12x_4)</f>
        <v>8563.32</v>
      </c>
      <c r="I204" s="1">
        <f>SUM(OSRRefD21_12x_5)</f>
        <v>8563.32</v>
      </c>
      <c r="J204" s="1">
        <f>SUM(OSRRefD21_12x_6)</f>
        <v>8563.32</v>
      </c>
      <c r="K204" s="1">
        <f>SUM(OSRRefD21_12x_7)</f>
        <v>8563.32</v>
      </c>
      <c r="L204" s="1">
        <f>SUM(OSRRefD21_12x_8)</f>
        <v>8563.32</v>
      </c>
      <c r="M204" s="1">
        <f>SUM(OSRRefD21_12x_9)</f>
        <v>8563.32</v>
      </c>
      <c r="N204" s="1">
        <f>SUM(OSRRefE21_12x_0)</f>
        <v>9321</v>
      </c>
      <c r="O204" s="1">
        <f>SUM(OSRRefE21_12x_1)</f>
        <v>9321</v>
      </c>
      <c r="Q204" s="2">
        <f>SUM(OSRRefD20_12x)+IFERROR(SUM(OSRRefE20_12x),0)</f>
        <v>110387.20000000001</v>
      </c>
    </row>
    <row r="205" spans="1:17" s="34" customFormat="1" hidden="1" outlineLevel="1" x14ac:dyDescent="0.25">
      <c r="A205" s="35"/>
      <c r="B205" s="10" t="str">
        <f>CONCATENATE("          ","6314", " - ","LIABILITY INSURANCE")</f>
        <v xml:space="preserve">          6314 - LIABILITY INSURANCE</v>
      </c>
      <c r="C205" s="11"/>
      <c r="D205" s="20">
        <v>8563.32</v>
      </c>
      <c r="E205" s="20">
        <v>8563.32</v>
      </c>
      <c r="F205" s="20">
        <v>8563.32</v>
      </c>
      <c r="G205" s="20">
        <v>14675.32</v>
      </c>
      <c r="H205" s="20">
        <v>8563.32</v>
      </c>
      <c r="I205" s="20">
        <v>8563.32</v>
      </c>
      <c r="J205" s="20">
        <v>8563.32</v>
      </c>
      <c r="K205" s="20">
        <v>8563.32</v>
      </c>
      <c r="L205" s="20">
        <v>8563.32</v>
      </c>
      <c r="M205" s="20">
        <v>8563.32</v>
      </c>
      <c r="N205" s="20">
        <v>9321</v>
      </c>
      <c r="O205" s="20">
        <v>9321</v>
      </c>
      <c r="P205" s="36"/>
      <c r="Q205" s="2">
        <f>SUM(OSRRefD21_12_0x)+IFERROR(SUM(OSRRefE21_12_0x),0)</f>
        <v>110387.20000000001</v>
      </c>
    </row>
    <row r="206" spans="1:17" s="34" customFormat="1" collapsed="1" x14ac:dyDescent="0.25">
      <c r="A206" s="35"/>
      <c r="B206" s="11" t="str">
        <f>CONCATENATE("     ","Interest                                          ")</f>
        <v xml:space="preserve">     Interest                                          </v>
      </c>
      <c r="C206" s="11"/>
      <c r="D206" s="1">
        <f>SUM(OSRRefD21_13x_0)</f>
        <v>11554</v>
      </c>
      <c r="E206" s="1">
        <f>SUM(OSRRefD21_13x_1)</f>
        <v>11554</v>
      </c>
      <c r="F206" s="1">
        <f>SUM(OSRRefD21_13x_2)</f>
        <v>11554</v>
      </c>
      <c r="G206" s="1">
        <f>SUM(OSRRefD21_13x_3)</f>
        <v>10805</v>
      </c>
      <c r="H206" s="1">
        <f>SUM(OSRRefD21_13x_4)</f>
        <v>11554</v>
      </c>
      <c r="I206" s="1">
        <f>SUM(OSRRefD21_13x_5)</f>
        <v>11554</v>
      </c>
      <c r="J206" s="1">
        <f>SUM(OSRRefD21_13x_6)</f>
        <v>11554</v>
      </c>
      <c r="K206" s="1">
        <f>SUM(OSRRefD21_13x_7)</f>
        <v>11554</v>
      </c>
      <c r="L206" s="1">
        <f>SUM(OSRRefD21_13x_8)</f>
        <v>11554</v>
      </c>
      <c r="M206" s="1">
        <f>SUM(OSRRefD21_13x_9)</f>
        <v>9180</v>
      </c>
      <c r="N206" s="1">
        <f>SUM(OSRRefE21_13x_0)</f>
        <v>11158</v>
      </c>
      <c r="O206" s="1">
        <f>SUM(OSRRefE21_13x_1)</f>
        <v>11158</v>
      </c>
      <c r="Q206" s="2">
        <f>SUM(OSRRefD20_13x)+IFERROR(SUM(OSRRefE20_13x),0)</f>
        <v>134733</v>
      </c>
    </row>
    <row r="207" spans="1:17" s="34" customFormat="1" hidden="1" outlineLevel="1" x14ac:dyDescent="0.25">
      <c r="A207" s="35"/>
      <c r="B207" s="10" t="str">
        <f>CONCATENATE("          ","6401", " - ","INTEREST EXPENSE")</f>
        <v xml:space="preserve">          6401 - INTEREST EXPENSE</v>
      </c>
      <c r="C207" s="11"/>
      <c r="D207" s="20">
        <v>11554</v>
      </c>
      <c r="E207" s="20">
        <v>11554</v>
      </c>
      <c r="F207" s="20">
        <v>11554</v>
      </c>
      <c r="G207" s="20">
        <v>10805</v>
      </c>
      <c r="H207" s="20">
        <v>11554</v>
      </c>
      <c r="I207" s="20">
        <v>11554</v>
      </c>
      <c r="J207" s="20">
        <v>11554</v>
      </c>
      <c r="K207" s="20">
        <v>11554</v>
      </c>
      <c r="L207" s="20">
        <v>11554</v>
      </c>
      <c r="M207" s="20">
        <v>9180</v>
      </c>
      <c r="N207" s="20">
        <v>11158</v>
      </c>
      <c r="O207" s="20">
        <v>11158</v>
      </c>
      <c r="P207" s="36"/>
      <c r="Q207" s="2">
        <f>SUM(OSRRefD21_13_0x)+IFERROR(SUM(OSRRefE21_13_0x),0)</f>
        <v>134733</v>
      </c>
    </row>
    <row r="208" spans="1:17" s="34" customFormat="1" collapsed="1" x14ac:dyDescent="0.25">
      <c r="A208" s="35"/>
      <c r="B208" s="11" t="str">
        <f>CONCATENATE("     ","Inventory Adjustment                              ")</f>
        <v xml:space="preserve">     Inventory Adjustment                              </v>
      </c>
      <c r="C208" s="11"/>
      <c r="D208" s="1">
        <f>SUM(OSRRefD21_14x_0)</f>
        <v>3350</v>
      </c>
      <c r="E208" s="1">
        <f>SUM(OSRRefD21_14x_1)</f>
        <v>3350</v>
      </c>
      <c r="F208" s="1">
        <f>SUM(OSRRefD21_14x_2)</f>
        <v>3350</v>
      </c>
      <c r="G208" s="1">
        <f>SUM(OSRRefD21_14x_3)</f>
        <v>3350</v>
      </c>
      <c r="H208" s="1">
        <f>SUM(OSRRefD21_14x_4)</f>
        <v>3350</v>
      </c>
      <c r="I208" s="1">
        <f>SUM(OSRRefD21_14x_5)</f>
        <v>8350</v>
      </c>
      <c r="J208" s="1">
        <f>SUM(OSRRefD21_14x_6)</f>
        <v>3350</v>
      </c>
      <c r="K208" s="1">
        <f>SUM(OSRRefD21_14x_7)</f>
        <v>3350</v>
      </c>
      <c r="L208" s="1">
        <f>SUM(OSRRefD21_14x_8)</f>
        <v>3350</v>
      </c>
      <c r="M208" s="1">
        <f>SUM(OSRRefD21_14x_9)</f>
        <v>3350</v>
      </c>
      <c r="N208" s="1">
        <f>SUM(OSRRefE21_14x_0)</f>
        <v>3350</v>
      </c>
      <c r="O208" s="1">
        <f>SUM(OSRRefE21_14x_1)</f>
        <v>17350</v>
      </c>
      <c r="Q208" s="2">
        <f>SUM(OSRRefD20_14x)+IFERROR(SUM(OSRRefE20_14x),0)</f>
        <v>59200</v>
      </c>
    </row>
    <row r="209" spans="1:17" s="34" customFormat="1" hidden="1" outlineLevel="1" x14ac:dyDescent="0.25">
      <c r="A209" s="35"/>
      <c r="B209" s="10" t="str">
        <f>CONCATENATE("          ","6408", " - ","INVENTORY ADJUSTMENT")</f>
        <v xml:space="preserve">          6408 - INVENTORY ADJUSTMENT</v>
      </c>
      <c r="C209" s="11"/>
      <c r="D209" s="20">
        <v>3350</v>
      </c>
      <c r="E209" s="20">
        <v>3350</v>
      </c>
      <c r="F209" s="20">
        <v>3350</v>
      </c>
      <c r="G209" s="20">
        <v>3350</v>
      </c>
      <c r="H209" s="20">
        <v>3350</v>
      </c>
      <c r="I209" s="20">
        <v>8350</v>
      </c>
      <c r="J209" s="20">
        <v>3350</v>
      </c>
      <c r="K209" s="20">
        <v>3350</v>
      </c>
      <c r="L209" s="20">
        <v>3350</v>
      </c>
      <c r="M209" s="20">
        <v>3350</v>
      </c>
      <c r="N209" s="20">
        <v>3350</v>
      </c>
      <c r="O209" s="20">
        <v>17350</v>
      </c>
      <c r="P209" s="36"/>
      <c r="Q209" s="2">
        <f>SUM(OSRRefD21_14_0x)+IFERROR(SUM(OSRRefE21_14_0x),0)</f>
        <v>59200</v>
      </c>
    </row>
    <row r="210" spans="1:17" s="34" customFormat="1" hidden="1" outlineLevel="1" x14ac:dyDescent="0.25">
      <c r="A210" s="35"/>
      <c r="B210" s="10" t="str">
        <f>CONCATENATE("          ","7741", " - ","INV. SHRINKAGE-LOGO GIFTS")</f>
        <v xml:space="preserve">          7741 - INV. SHRINKAGE-LOGO GIFTS</v>
      </c>
      <c r="C210" s="11"/>
      <c r="D210" s="20">
        <v>0</v>
      </c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6"/>
      <c r="Q210" s="2">
        <f>SUM(OSRRefD21_14_1x)+IFERROR(SUM(OSRRefE21_14_1x),0)</f>
        <v>0</v>
      </c>
    </row>
    <row r="211" spans="1:17" s="34" customFormat="1" collapsed="1" x14ac:dyDescent="0.25">
      <c r="A211" s="35"/>
      <c r="B211" s="11" t="str">
        <f>CONCATENATE("     ","Professional Services                             ")</f>
        <v xml:space="preserve">     Professional Services                             </v>
      </c>
      <c r="C211" s="11"/>
      <c r="D211" s="1">
        <f>SUM(OSRRefD21_15x_0)</f>
        <v>0</v>
      </c>
      <c r="E211" s="1">
        <f>SUM(OSRRefD21_15x_1)</f>
        <v>0</v>
      </c>
      <c r="F211" s="1">
        <f>SUM(OSRRefD21_15x_2)</f>
        <v>0</v>
      </c>
      <c r="G211" s="1">
        <f>SUM(OSRRefD21_15x_3)</f>
        <v>0</v>
      </c>
      <c r="H211" s="1">
        <f>SUM(OSRRefD21_15x_4)</f>
        <v>0</v>
      </c>
      <c r="I211" s="1">
        <f>SUM(OSRRefD21_15x_5)</f>
        <v>0</v>
      </c>
      <c r="J211" s="1">
        <f>SUM(OSRRefD21_15x_6)</f>
        <v>0</v>
      </c>
      <c r="K211" s="1">
        <f>SUM(OSRRefD21_15x_7)</f>
        <v>0</v>
      </c>
      <c r="L211" s="1">
        <f>SUM(OSRRefD21_15x_8)</f>
        <v>0</v>
      </c>
      <c r="M211" s="1">
        <f>SUM(OSRRefD21_15x_9)</f>
        <v>0</v>
      </c>
      <c r="N211" s="1">
        <f>SUM(OSRRefE21_15x_0)</f>
        <v>0</v>
      </c>
      <c r="O211" s="1">
        <f>SUM(OSRRefE21_15x_1)</f>
        <v>0</v>
      </c>
      <c r="Q211" s="2">
        <f>SUM(OSRRefD20_15x)+IFERROR(SUM(OSRRefE20_15x),0)</f>
        <v>0</v>
      </c>
    </row>
    <row r="212" spans="1:17" s="34" customFormat="1" hidden="1" outlineLevel="1" x14ac:dyDescent="0.25">
      <c r="A212" s="35"/>
      <c r="B212" s="10" t="str">
        <f>CONCATENATE("          ","6336", " - ","PROFESSIONAL SERVICES")</f>
        <v xml:space="preserve">          6336 - PROFESSIONAL SERVICES</v>
      </c>
      <c r="C212" s="11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>
        <v>0</v>
      </c>
      <c r="O212" s="20">
        <v>0</v>
      </c>
      <c r="P212" s="36"/>
      <c r="Q212" s="2">
        <f>SUM(OSRRefD21_15_0x)+IFERROR(SUM(OSRRefE21_15_0x),0)</f>
        <v>0</v>
      </c>
    </row>
    <row r="213" spans="1:17" s="34" customFormat="1" collapsed="1" x14ac:dyDescent="0.25">
      <c r="A213" s="35"/>
      <c r="B213" s="11" t="str">
        <f>CONCATENATE("     ","R/H Commissions                                   ")</f>
        <v xml:space="preserve">     R/H Commissions                                   </v>
      </c>
      <c r="C213" s="11"/>
      <c r="D213" s="1">
        <f>SUM(OSRRefD21_16x_0)</f>
        <v>1151.68</v>
      </c>
      <c r="E213" s="1">
        <f>SUM(OSRRefD21_16x_1)</f>
        <v>3533.81</v>
      </c>
      <c r="F213" s="1">
        <f>SUM(OSRRefD21_16x_2)</f>
        <v>11792.03</v>
      </c>
      <c r="G213" s="1">
        <f>SUM(OSRRefD21_16x_3)</f>
        <v>12242.68</v>
      </c>
      <c r="H213" s="1">
        <f>SUM(OSRRefD21_16x_4)</f>
        <v>7982.87</v>
      </c>
      <c r="I213" s="1">
        <f>SUM(OSRRefD21_16x_5)</f>
        <v>38313.42</v>
      </c>
      <c r="J213" s="1">
        <f>SUM(OSRRefD21_16x_6)</f>
        <v>-29103.13</v>
      </c>
      <c r="K213" s="1">
        <f>SUM(OSRRefD21_16x_7)</f>
        <v>6342.49</v>
      </c>
      <c r="L213" s="1">
        <f>SUM(OSRRefD21_16x_8)</f>
        <v>6756.75</v>
      </c>
      <c r="M213" s="1">
        <f>SUM(OSRRefD21_16x_9)</f>
        <v>6627.19</v>
      </c>
      <c r="N213" s="1">
        <f>SUM(OSRRefE21_16x_0)</f>
        <v>6587</v>
      </c>
      <c r="O213" s="1">
        <f>SUM(OSRRefE21_16x_1)</f>
        <v>2000</v>
      </c>
      <c r="Q213" s="2">
        <f>SUM(OSRRefD20_16x)+IFERROR(SUM(OSRRefE20_16x),0)</f>
        <v>74226.789999999979</v>
      </c>
    </row>
    <row r="214" spans="1:17" s="34" customFormat="1" hidden="1" outlineLevel="1" x14ac:dyDescent="0.25">
      <c r="A214" s="35"/>
      <c r="B214" s="10" t="str">
        <f>CONCATENATE("          ","6387", " - ","COMMISSION DUE HOUSING")</f>
        <v xml:space="preserve">          6387 - COMMISSION DUE HOUSING</v>
      </c>
      <c r="C214" s="11"/>
      <c r="D214" s="20">
        <v>1151.68</v>
      </c>
      <c r="E214" s="20">
        <v>3533.81</v>
      </c>
      <c r="F214" s="20">
        <v>11792.03</v>
      </c>
      <c r="G214" s="20">
        <v>12242.68</v>
      </c>
      <c r="H214" s="20">
        <v>7982.87</v>
      </c>
      <c r="I214" s="20">
        <v>38313.42</v>
      </c>
      <c r="J214" s="20">
        <v>-29103.13</v>
      </c>
      <c r="K214" s="20">
        <v>6342.49</v>
      </c>
      <c r="L214" s="20">
        <v>6756.75</v>
      </c>
      <c r="M214" s="20">
        <v>6627.19</v>
      </c>
      <c r="N214" s="20">
        <v>6587</v>
      </c>
      <c r="O214" s="20">
        <v>2000</v>
      </c>
      <c r="P214" s="36"/>
      <c r="Q214" s="2">
        <f>SUM(OSRRefD21_16_0x)+IFERROR(SUM(OSRRefE21_16_0x),0)</f>
        <v>74226.789999999979</v>
      </c>
    </row>
    <row r="215" spans="1:17" s="34" customFormat="1" collapsed="1" x14ac:dyDescent="0.25">
      <c r="A215" s="35"/>
      <c r="B215" s="11" t="str">
        <f>CONCATENATE("     ","Rent                                              ")</f>
        <v xml:space="preserve">     Rent                                              </v>
      </c>
      <c r="C215" s="11"/>
      <c r="D215" s="1">
        <f>SUM(OSRRefD21_17x_0)</f>
        <v>6900</v>
      </c>
      <c r="E215" s="1">
        <f>SUM(OSRRefD21_17x_1)</f>
        <v>6900</v>
      </c>
      <c r="F215" s="1">
        <f>SUM(OSRRefD21_17x_2)</f>
        <v>12450</v>
      </c>
      <c r="G215" s="1">
        <f>SUM(OSRRefD21_17x_3)</f>
        <v>6900</v>
      </c>
      <c r="H215" s="1">
        <f>SUM(OSRRefD21_17x_4)</f>
        <v>6900</v>
      </c>
      <c r="I215" s="1">
        <f>SUM(OSRRefD21_17x_5)</f>
        <v>12450</v>
      </c>
      <c r="J215" s="1">
        <f>SUM(OSRRefD21_17x_6)</f>
        <v>6900</v>
      </c>
      <c r="K215" s="1">
        <f>SUM(OSRRefD21_17x_7)</f>
        <v>6900</v>
      </c>
      <c r="L215" s="1">
        <f>SUM(OSRRefD21_17x_8)</f>
        <v>6900</v>
      </c>
      <c r="M215" s="1">
        <f>SUM(OSRRefD21_17x_9)</f>
        <v>8750</v>
      </c>
      <c r="N215" s="1">
        <f>SUM(OSRRefE21_17x_0)</f>
        <v>8843</v>
      </c>
      <c r="O215" s="1">
        <f>SUM(OSRRefE21_17x_1)</f>
        <v>8843</v>
      </c>
      <c r="Q215" s="2">
        <f>SUM(OSRRefD20_17x)+IFERROR(SUM(OSRRefE20_17x),0)</f>
        <v>99636</v>
      </c>
    </row>
    <row r="216" spans="1:17" s="34" customFormat="1" hidden="1" outlineLevel="1" x14ac:dyDescent="0.25">
      <c r="A216" s="35"/>
      <c r="B216" s="10" t="str">
        <f>CONCATENATE("          ","6273", " - ","RENT")</f>
        <v xml:space="preserve">          6273 - RENT</v>
      </c>
      <c r="C216" s="11"/>
      <c r="D216" s="20">
        <v>6900</v>
      </c>
      <c r="E216" s="20">
        <v>6900</v>
      </c>
      <c r="F216" s="20">
        <v>12450</v>
      </c>
      <c r="G216" s="20">
        <v>6900</v>
      </c>
      <c r="H216" s="20">
        <v>6900</v>
      </c>
      <c r="I216" s="20">
        <v>12450</v>
      </c>
      <c r="J216" s="20">
        <v>6900</v>
      </c>
      <c r="K216" s="20">
        <v>6900</v>
      </c>
      <c r="L216" s="20">
        <v>6900</v>
      </c>
      <c r="M216" s="20">
        <v>8750</v>
      </c>
      <c r="N216" s="20">
        <v>8843</v>
      </c>
      <c r="O216" s="20">
        <v>8843</v>
      </c>
      <c r="P216" s="36"/>
      <c r="Q216" s="2">
        <f>SUM(OSRRefD21_17_0x)+IFERROR(SUM(OSRRefE21_17_0x),0)</f>
        <v>99636</v>
      </c>
    </row>
    <row r="217" spans="1:17" s="34" customFormat="1" collapsed="1" x14ac:dyDescent="0.25">
      <c r="A217" s="35"/>
      <c r="B217" s="11" t="str">
        <f>CONCATENATE("     ","Repair and Maintenance                            ")</f>
        <v xml:space="preserve">     Repair and Maintenance                            </v>
      </c>
      <c r="C217" s="11"/>
      <c r="D217" s="1">
        <f>SUM(OSRRefD21_18x_0)</f>
        <v>70573.83</v>
      </c>
      <c r="E217" s="1">
        <f>SUM(OSRRefD21_18x_1)</f>
        <v>13911.13</v>
      </c>
      <c r="F217" s="1">
        <f>SUM(OSRRefD21_18x_2)</f>
        <v>23477.25</v>
      </c>
      <c r="G217" s="1">
        <f>SUM(OSRRefD21_18x_3)</f>
        <v>133253.84</v>
      </c>
      <c r="H217" s="1">
        <f>SUM(OSRRefD21_18x_4)</f>
        <v>8365.2999999999993</v>
      </c>
      <c r="I217" s="1">
        <f>SUM(OSRRefD21_18x_5)</f>
        <v>16761.490000000002</v>
      </c>
      <c r="J217" s="1">
        <f>SUM(OSRRefD21_18x_6)</f>
        <v>10131.150000000001</v>
      </c>
      <c r="K217" s="1">
        <f>SUM(OSRRefD21_18x_7)</f>
        <v>21860.95</v>
      </c>
      <c r="L217" s="1">
        <f>SUM(OSRRefD21_18x_8)</f>
        <v>46822.47</v>
      </c>
      <c r="M217" s="1">
        <f>SUM(OSRRefD21_18x_9)</f>
        <v>8099.35</v>
      </c>
      <c r="N217" s="1">
        <f>SUM(OSRRefE21_18x_0)</f>
        <v>28398</v>
      </c>
      <c r="O217" s="1">
        <f>SUM(OSRRefE21_18x_1)</f>
        <v>14498</v>
      </c>
      <c r="Q217" s="2">
        <f>SUM(OSRRefD20_18x)+IFERROR(SUM(OSRRefE20_18x),0)</f>
        <v>396152.76</v>
      </c>
    </row>
    <row r="218" spans="1:17" s="34" customFormat="1" hidden="1" outlineLevel="1" x14ac:dyDescent="0.25">
      <c r="A218" s="35"/>
      <c r="B218" s="10" t="str">
        <f>CONCATENATE("          ","6371", " - ","COMPUTER SOFTWARE MAINTENANCE")</f>
        <v xml:space="preserve">          6371 - COMPUTER SOFTWARE MAINTENANCE</v>
      </c>
      <c r="C218" s="11"/>
      <c r="D218" s="20">
        <v>58428.78</v>
      </c>
      <c r="E218" s="20"/>
      <c r="F218" s="20"/>
      <c r="G218" s="20">
        <v>7.69</v>
      </c>
      <c r="H218" s="20"/>
      <c r="I218" s="20">
        <v>3500</v>
      </c>
      <c r="J218" s="20">
        <v>3500</v>
      </c>
      <c r="K218" s="20">
        <v>5533.52</v>
      </c>
      <c r="L218" s="20">
        <v>5050</v>
      </c>
      <c r="M218" s="20">
        <v>3500</v>
      </c>
      <c r="N218" s="20">
        <v>15500</v>
      </c>
      <c r="O218" s="20">
        <v>3500</v>
      </c>
      <c r="P218" s="36"/>
      <c r="Q218" s="2">
        <f>SUM(OSRRefD21_18_0x)+IFERROR(SUM(OSRRefE21_18_0x),0)</f>
        <v>98519.99</v>
      </c>
    </row>
    <row r="219" spans="1:17" s="34" customFormat="1" hidden="1" outlineLevel="1" x14ac:dyDescent="0.25">
      <c r="A219" s="35"/>
      <c r="B219" s="10" t="str">
        <f>CONCATENATE("          ","6372", " - ","COMPUTER HARDWARE MAINTENANCE")</f>
        <v xml:space="preserve">          6372 - COMPUTER HARDWARE MAINTENANCE</v>
      </c>
      <c r="C219" s="11"/>
      <c r="D219" s="20"/>
      <c r="E219" s="20">
        <v>0.98</v>
      </c>
      <c r="F219" s="20">
        <v>-9.09</v>
      </c>
      <c r="G219" s="20">
        <v>8.11</v>
      </c>
      <c r="H219" s="20"/>
      <c r="I219" s="20"/>
      <c r="J219" s="20"/>
      <c r="K219" s="20">
        <v>-1.1499999999999999</v>
      </c>
      <c r="L219" s="20">
        <v>100</v>
      </c>
      <c r="M219" s="20"/>
      <c r="N219" s="20">
        <v>1500</v>
      </c>
      <c r="O219" s="20">
        <v>1500</v>
      </c>
      <c r="P219" s="36"/>
      <c r="Q219" s="2">
        <f>SUM(OSRRefD21_18_1x)+IFERROR(SUM(OSRRefE21_18_1x),0)</f>
        <v>3098.85</v>
      </c>
    </row>
    <row r="220" spans="1:17" s="34" customFormat="1" hidden="1" outlineLevel="1" x14ac:dyDescent="0.25">
      <c r="A220" s="35"/>
      <c r="B220" s="10" t="str">
        <f>CONCATENATE("          ","6373", " - ","MAINTENANCE CONTRACTS")</f>
        <v xml:space="preserve">          6373 - MAINTENANCE CONTRACTS</v>
      </c>
      <c r="C220" s="11"/>
      <c r="D220" s="20">
        <v>8771.25</v>
      </c>
      <c r="E220" s="20">
        <v>10884.93</v>
      </c>
      <c r="F220" s="20">
        <v>14594.21</v>
      </c>
      <c r="G220" s="20">
        <v>125859.86</v>
      </c>
      <c r="H220" s="20">
        <v>1348.82</v>
      </c>
      <c r="I220" s="20">
        <v>12774.02</v>
      </c>
      <c r="J220" s="20">
        <v>1127.94</v>
      </c>
      <c r="K220" s="20">
        <v>3382.04</v>
      </c>
      <c r="L220" s="20">
        <v>31589.56</v>
      </c>
      <c r="M220" s="20">
        <v>1441.34</v>
      </c>
      <c r="N220" s="20">
        <v>4378</v>
      </c>
      <c r="O220" s="20">
        <v>3578</v>
      </c>
      <c r="P220" s="36"/>
      <c r="Q220" s="2">
        <f>SUM(OSRRefD21_18_2x)+IFERROR(SUM(OSRRefE21_18_2x),0)</f>
        <v>219729.97</v>
      </c>
    </row>
    <row r="221" spans="1:17" s="34" customFormat="1" hidden="1" outlineLevel="1" x14ac:dyDescent="0.25">
      <c r="A221" s="35"/>
      <c r="B221" s="10" t="str">
        <f>CONCATENATE("          ","6375", " - ","OUTSIDE REPAIRS &amp; MAINTENANCE")</f>
        <v xml:space="preserve">          6375 - OUTSIDE REPAIRS &amp; MAINTENANCE</v>
      </c>
      <c r="C221" s="11"/>
      <c r="D221" s="20">
        <v>3373.8</v>
      </c>
      <c r="E221" s="20">
        <v>3025.22</v>
      </c>
      <c r="F221" s="20">
        <v>8892.1299999999992</v>
      </c>
      <c r="G221" s="20">
        <v>7378.18</v>
      </c>
      <c r="H221" s="20">
        <v>7016.48</v>
      </c>
      <c r="I221" s="20">
        <v>487.47</v>
      </c>
      <c r="J221" s="20">
        <v>5503.21</v>
      </c>
      <c r="K221" s="20">
        <v>12946.54</v>
      </c>
      <c r="L221" s="20">
        <v>10082.91</v>
      </c>
      <c r="M221" s="20">
        <v>3158.01</v>
      </c>
      <c r="N221" s="20">
        <v>7020</v>
      </c>
      <c r="O221" s="20">
        <v>5920</v>
      </c>
      <c r="P221" s="36"/>
      <c r="Q221" s="2">
        <f>SUM(OSRRefD21_18_3x)+IFERROR(SUM(OSRRefE21_18_3x),0)</f>
        <v>74803.950000000012</v>
      </c>
    </row>
    <row r="222" spans="1:17" s="34" customFormat="1" collapsed="1" x14ac:dyDescent="0.25">
      <c r="A222" s="35"/>
      <c r="B222" s="11" t="str">
        <f>CONCATENATE("     ","Royalty &amp; Commissions                             ")</f>
        <v xml:space="preserve">     Royalty &amp; Commissions                             </v>
      </c>
      <c r="C222" s="11"/>
      <c r="D222" s="1">
        <f>SUM(OSRRefD21_19x_0)</f>
        <v>10989.75</v>
      </c>
      <c r="E222" s="1">
        <f>SUM(OSRRefD21_19x_1)</f>
        <v>2254.65</v>
      </c>
      <c r="F222" s="1">
        <f>SUM(OSRRefD21_19x_2)</f>
        <v>62.6</v>
      </c>
      <c r="G222" s="1">
        <f>SUM(OSRRefD21_19x_3)</f>
        <v>10995.7</v>
      </c>
      <c r="H222" s="1">
        <f>SUM(OSRRefD21_19x_4)</f>
        <v>4453.09</v>
      </c>
      <c r="I222" s="1">
        <f>SUM(OSRRefD21_19x_5)</f>
        <v>5.97</v>
      </c>
      <c r="J222" s="1">
        <f>SUM(OSRRefD21_19x_6)</f>
        <v>7789.59</v>
      </c>
      <c r="K222" s="1">
        <f>SUM(OSRRefD21_19x_7)</f>
        <v>468.34</v>
      </c>
      <c r="L222" s="1">
        <f>SUM(OSRRefD21_19x_8)</f>
        <v>27.21</v>
      </c>
      <c r="M222" s="1">
        <f>SUM(OSRRefD21_19x_9)</f>
        <v>11531.75</v>
      </c>
      <c r="N222" s="1">
        <f>SUM(OSRRefE21_19x_0)</f>
        <v>6371</v>
      </c>
      <c r="O222" s="1">
        <f>SUM(OSRRefE21_19x_1)</f>
        <v>6371</v>
      </c>
      <c r="Q222" s="2">
        <f>SUM(OSRRefD20_19x)+IFERROR(SUM(OSRRefE20_19x),0)</f>
        <v>61320.65</v>
      </c>
    </row>
    <row r="223" spans="1:17" s="34" customFormat="1" hidden="1" outlineLevel="1" x14ac:dyDescent="0.25">
      <c r="A223" s="35"/>
      <c r="B223" s="10" t="str">
        <f>CONCATENATE("          ","6252", " - ","ROYALTY DUE CSTV")</f>
        <v xml:space="preserve">          6252 - ROYALTY DUE CSTV</v>
      </c>
      <c r="C223" s="11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>
        <v>1085</v>
      </c>
      <c r="O223" s="20">
        <v>1085</v>
      </c>
      <c r="P223" s="36"/>
      <c r="Q223" s="2">
        <f>SUM(OSRRefD21_19_0x)+IFERROR(SUM(OSRRefE21_19_0x),0)</f>
        <v>2170</v>
      </c>
    </row>
    <row r="224" spans="1:17" s="34" customFormat="1" hidden="1" outlineLevel="1" x14ac:dyDescent="0.25">
      <c r="A224" s="35"/>
      <c r="B224" s="10" t="str">
        <f>CONCATENATE("          ","6253", " - ","ROYALTY DUE ATHLETICS-LRG")</f>
        <v xml:space="preserve">          6253 - ROYALTY DUE ATHLETICS-LRG</v>
      </c>
      <c r="C224" s="11"/>
      <c r="D224" s="20">
        <v>5672.2</v>
      </c>
      <c r="E224" s="20">
        <v>2250</v>
      </c>
      <c r="F224" s="20"/>
      <c r="G224" s="20">
        <v>10489.6</v>
      </c>
      <c r="H224" s="20"/>
      <c r="I224" s="20"/>
      <c r="J224" s="20">
        <v>7785.78</v>
      </c>
      <c r="K224" s="20"/>
      <c r="L224" s="20"/>
      <c r="M224" s="20">
        <v>8961.48</v>
      </c>
      <c r="N224" s="20">
        <v>4037</v>
      </c>
      <c r="O224" s="20">
        <v>4037</v>
      </c>
      <c r="P224" s="36"/>
      <c r="Q224" s="2">
        <f>SUM(OSRRefD21_19_1x)+IFERROR(SUM(OSRRefE21_19_1x),0)</f>
        <v>43233.06</v>
      </c>
    </row>
    <row r="225" spans="1:17" s="34" customFormat="1" hidden="1" outlineLevel="1" x14ac:dyDescent="0.25">
      <c r="A225" s="35"/>
      <c r="B225" s="10" t="str">
        <f>CONCATENATE("          ","6254", " - ","ROYALTY &amp; COMMISSIONS")</f>
        <v xml:space="preserve">          6254 - ROYALTY &amp; COMMISSIONS</v>
      </c>
      <c r="C225" s="11"/>
      <c r="D225" s="20"/>
      <c r="E225" s="20"/>
      <c r="F225" s="20"/>
      <c r="G225" s="20">
        <v>185.7</v>
      </c>
      <c r="H225" s="20"/>
      <c r="I225" s="20"/>
      <c r="J225" s="20"/>
      <c r="K225" s="20"/>
      <c r="L225" s="20"/>
      <c r="M225" s="20"/>
      <c r="N225" s="20">
        <v>1149</v>
      </c>
      <c r="O225" s="20">
        <v>1149</v>
      </c>
      <c r="P225" s="36"/>
      <c r="Q225" s="2">
        <f>SUM(OSRRefD21_19_2x)+IFERROR(SUM(OSRRefE21_19_2x),0)</f>
        <v>2483.6999999999998</v>
      </c>
    </row>
    <row r="226" spans="1:17" s="34" customFormat="1" hidden="1" outlineLevel="1" x14ac:dyDescent="0.25">
      <c r="A226" s="35"/>
      <c r="B226" s="10" t="str">
        <f>CONCATENATE("          ","6259", " - ","ROYALTY &amp; COMMISSIONS")</f>
        <v xml:space="preserve">          6259 - ROYALTY &amp; COMMISSIONS</v>
      </c>
      <c r="C226" s="11"/>
      <c r="D226" s="20">
        <v>5317.55</v>
      </c>
      <c r="E226" s="20">
        <v>4.6500000000000004</v>
      </c>
      <c r="F226" s="20">
        <v>62.6</v>
      </c>
      <c r="G226" s="20">
        <v>320.39999999999998</v>
      </c>
      <c r="H226" s="20">
        <v>4453.09</v>
      </c>
      <c r="I226" s="20">
        <v>5.97</v>
      </c>
      <c r="J226" s="20">
        <v>3.81</v>
      </c>
      <c r="K226" s="20">
        <v>468.34</v>
      </c>
      <c r="L226" s="20">
        <v>27.21</v>
      </c>
      <c r="M226" s="20">
        <v>2570.27</v>
      </c>
      <c r="N226" s="20">
        <v>100</v>
      </c>
      <c r="O226" s="20">
        <v>100</v>
      </c>
      <c r="P226" s="36"/>
      <c r="Q226" s="2">
        <f>SUM(OSRRefD21_19_3x)+IFERROR(SUM(OSRRefE21_19_3x),0)</f>
        <v>13433.89</v>
      </c>
    </row>
    <row r="227" spans="1:17" s="34" customFormat="1" collapsed="1" x14ac:dyDescent="0.25">
      <c r="A227" s="35"/>
      <c r="B227" s="11" t="str">
        <f>CONCATENATE("     ","Services                                          ")</f>
        <v xml:space="preserve">     Services                                          </v>
      </c>
      <c r="C227" s="11"/>
      <c r="D227" s="1">
        <f>SUM(OSRRefD21_20x_0)</f>
        <v>15839.01</v>
      </c>
      <c r="E227" s="1">
        <f>SUM(OSRRefD21_20x_1)</f>
        <v>11874.029999999999</v>
      </c>
      <c r="F227" s="1">
        <f>SUM(OSRRefD21_20x_2)</f>
        <v>21871.279999999999</v>
      </c>
      <c r="G227" s="1">
        <f>SUM(OSRRefD21_20x_3)</f>
        <v>22877.25</v>
      </c>
      <c r="H227" s="1">
        <f>SUM(OSRRefD21_20x_4)</f>
        <v>22028.5</v>
      </c>
      <c r="I227" s="1">
        <f>SUM(OSRRefD21_20x_5)</f>
        <v>27262.82</v>
      </c>
      <c r="J227" s="1">
        <f>SUM(OSRRefD21_20x_6)</f>
        <v>27196.27</v>
      </c>
      <c r="K227" s="1">
        <f>SUM(OSRRefD21_20x_7)</f>
        <v>20762.95</v>
      </c>
      <c r="L227" s="1">
        <f>SUM(OSRRefD21_20x_8)</f>
        <v>17082.769999999997</v>
      </c>
      <c r="M227" s="1">
        <f>SUM(OSRRefD21_20x_9)</f>
        <v>28061.86</v>
      </c>
      <c r="N227" s="1">
        <f>SUM(OSRRefE21_20x_0)</f>
        <v>25824</v>
      </c>
      <c r="O227" s="1">
        <f>SUM(OSRRefE21_20x_1)</f>
        <v>26654</v>
      </c>
      <c r="Q227" s="2">
        <f>SUM(OSRRefD20_20x)+IFERROR(SUM(OSRRefE20_20x),0)</f>
        <v>267334.74</v>
      </c>
    </row>
    <row r="228" spans="1:17" s="34" customFormat="1" hidden="1" outlineLevel="1" x14ac:dyDescent="0.25">
      <c r="A228" s="35"/>
      <c r="B228" s="10" t="str">
        <f>CONCATENATE("          ","6282", " - ","JANITORIAL/EXTERMINATOR EXPENS")</f>
        <v xml:space="preserve">          6282 - JANITORIAL/EXTERMINATOR EXPENS</v>
      </c>
      <c r="C228" s="11"/>
      <c r="D228" s="20">
        <v>1644.8</v>
      </c>
      <c r="E228" s="20">
        <v>967.1</v>
      </c>
      <c r="F228" s="20">
        <v>315.86</v>
      </c>
      <c r="G228" s="20">
        <v>7486.36</v>
      </c>
      <c r="H228" s="20">
        <v>438.2</v>
      </c>
      <c r="I228" s="20">
        <v>5210.84</v>
      </c>
      <c r="J228" s="20">
        <v>7935.2</v>
      </c>
      <c r="K228" s="20">
        <v>1189.53</v>
      </c>
      <c r="L228" s="20">
        <v>4653.21</v>
      </c>
      <c r="M228" s="20">
        <v>4208.8100000000004</v>
      </c>
      <c r="N228" s="20">
        <v>6705</v>
      </c>
      <c r="O228" s="20">
        <v>7332</v>
      </c>
      <c r="P228" s="36"/>
      <c r="Q228" s="2">
        <f>SUM(OSRRefD21_20_0x)+IFERROR(SUM(OSRRefE21_20_0x),0)</f>
        <v>48086.909999999996</v>
      </c>
    </row>
    <row r="229" spans="1:17" s="34" customFormat="1" hidden="1" outlineLevel="1" x14ac:dyDescent="0.25">
      <c r="A229" s="35"/>
      <c r="B229" s="10" t="str">
        <f>CONCATENATE("          ","6283", " - ","PLANT SERVICE")</f>
        <v xml:space="preserve">          6283 - PLANT SERVICE</v>
      </c>
      <c r="C229" s="11"/>
      <c r="D229" s="20">
        <v>130</v>
      </c>
      <c r="E229" s="20"/>
      <c r="F229" s="20"/>
      <c r="G229" s="20"/>
      <c r="H229" s="20">
        <v>41.31</v>
      </c>
      <c r="I229" s="20"/>
      <c r="J229" s="20"/>
      <c r="K229" s="20"/>
      <c r="L229" s="20"/>
      <c r="M229" s="20"/>
      <c r="N229" s="20">
        <v>0</v>
      </c>
      <c r="O229" s="20">
        <v>0</v>
      </c>
      <c r="P229" s="36"/>
      <c r="Q229" s="2">
        <f>SUM(OSRRefD21_20_1x)+IFERROR(SUM(OSRRefE21_20_1x),0)</f>
        <v>171.31</v>
      </c>
    </row>
    <row r="230" spans="1:17" s="34" customFormat="1" hidden="1" outlineLevel="1" x14ac:dyDescent="0.25">
      <c r="A230" s="35"/>
      <c r="B230" s="10" t="str">
        <f>CONCATENATE("          ","6284", " - ","TRASH REMOVAL EXPENSE")</f>
        <v xml:space="preserve">          6284 - TRASH REMOVAL EXPENSE</v>
      </c>
      <c r="C230" s="11"/>
      <c r="D230" s="20">
        <v>1142.57</v>
      </c>
      <c r="E230" s="20">
        <v>1142.57</v>
      </c>
      <c r="F230" s="20">
        <v>903.57</v>
      </c>
      <c r="G230" s="20">
        <v>5526.59</v>
      </c>
      <c r="H230" s="20">
        <v>5658</v>
      </c>
      <c r="I230" s="20">
        <v>6225.89</v>
      </c>
      <c r="J230" s="20">
        <v>5800.57</v>
      </c>
      <c r="K230" s="20">
        <v>5800.57</v>
      </c>
      <c r="L230" s="20">
        <v>-9101.43</v>
      </c>
      <c r="M230" s="20">
        <v>5800.57</v>
      </c>
      <c r="N230" s="20">
        <v>3678</v>
      </c>
      <c r="O230" s="20">
        <v>3733</v>
      </c>
      <c r="P230" s="36"/>
      <c r="Q230" s="2">
        <f>SUM(OSRRefD21_20_2x)+IFERROR(SUM(OSRRefE21_20_2x),0)</f>
        <v>36310.47</v>
      </c>
    </row>
    <row r="231" spans="1:17" s="34" customFormat="1" hidden="1" outlineLevel="1" x14ac:dyDescent="0.25">
      <c r="A231" s="35"/>
      <c r="B231" s="10" t="str">
        <f>CONCATENATE("          ","6285", " - ","JANITORIAL SERVICES")</f>
        <v xml:space="preserve">          6285 - JANITORIAL SERVICES</v>
      </c>
      <c r="C231" s="11"/>
      <c r="D231" s="20">
        <v>10984.17</v>
      </c>
      <c r="E231" s="20">
        <v>7251.9</v>
      </c>
      <c r="F231" s="20">
        <v>19141.91</v>
      </c>
      <c r="G231" s="20">
        <v>7831.3</v>
      </c>
      <c r="H231" s="20">
        <v>15121.31</v>
      </c>
      <c r="I231" s="20">
        <v>13739.48</v>
      </c>
      <c r="J231" s="20">
        <v>12687.19</v>
      </c>
      <c r="K231" s="20">
        <v>12687.19</v>
      </c>
      <c r="L231" s="20">
        <v>20652.759999999998</v>
      </c>
      <c r="M231" s="20">
        <v>16146.46</v>
      </c>
      <c r="N231" s="20">
        <v>12441</v>
      </c>
      <c r="O231" s="20">
        <v>12441</v>
      </c>
      <c r="P231" s="36"/>
      <c r="Q231" s="2">
        <f>SUM(OSRRefD21_20_3x)+IFERROR(SUM(OSRRefE21_20_3x),0)</f>
        <v>161125.66999999998</v>
      </c>
    </row>
    <row r="232" spans="1:17" s="34" customFormat="1" hidden="1" outlineLevel="1" x14ac:dyDescent="0.25">
      <c r="A232" s="35"/>
      <c r="B232" s="10" t="str">
        <f>CONCATENATE("          ","6286", " - ","LAUNDRY EXPENSE")</f>
        <v xml:space="preserve">          6286 - LAUNDRY EXPENSE</v>
      </c>
      <c r="C232" s="11"/>
      <c r="D232" s="20">
        <v>1937.47</v>
      </c>
      <c r="E232" s="20">
        <v>2512.46</v>
      </c>
      <c r="F232" s="20">
        <v>1509.94</v>
      </c>
      <c r="G232" s="20">
        <v>2033</v>
      </c>
      <c r="H232" s="20">
        <v>769.68</v>
      </c>
      <c r="I232" s="20">
        <v>2086.61</v>
      </c>
      <c r="J232" s="20">
        <v>773.31</v>
      </c>
      <c r="K232" s="20">
        <v>1085.6600000000001</v>
      </c>
      <c r="L232" s="20">
        <v>878.23</v>
      </c>
      <c r="M232" s="20">
        <v>1906.02</v>
      </c>
      <c r="N232" s="20">
        <v>3000</v>
      </c>
      <c r="O232" s="20">
        <v>3148</v>
      </c>
      <c r="P232" s="36"/>
      <c r="Q232" s="2">
        <f>SUM(OSRRefD21_20_4x)+IFERROR(SUM(OSRRefE21_20_4x),0)</f>
        <v>21640.38</v>
      </c>
    </row>
    <row r="233" spans="1:17" s="34" customFormat="1" collapsed="1" x14ac:dyDescent="0.25">
      <c r="A233" s="35"/>
      <c r="B233" s="11" t="str">
        <f>CONCATENATE("     ","Subscriptions &amp; Dues                              ")</f>
        <v xml:space="preserve">     Subscriptions &amp; Dues                              </v>
      </c>
      <c r="C233" s="11"/>
      <c r="D233" s="1">
        <f>SUM(OSRRefD21_21x_0)</f>
        <v>374.32</v>
      </c>
      <c r="E233" s="1">
        <f>SUM(OSRRefD21_21x_1)</f>
        <v>270</v>
      </c>
      <c r="F233" s="1">
        <f>SUM(OSRRefD21_21x_2)</f>
        <v>280.11</v>
      </c>
      <c r="G233" s="1">
        <f>SUM(OSRRefD21_21x_3)</f>
        <v>995.99</v>
      </c>
      <c r="H233" s="1">
        <f>SUM(OSRRefD21_21x_4)</f>
        <v>520.91999999999996</v>
      </c>
      <c r="I233" s="1">
        <f>SUM(OSRRefD21_21x_5)</f>
        <v>343.27</v>
      </c>
      <c r="J233" s="1">
        <f>SUM(OSRRefD21_21x_6)</f>
        <v>2389.69</v>
      </c>
      <c r="K233" s="1">
        <f>SUM(OSRRefD21_21x_7)</f>
        <v>444.25</v>
      </c>
      <c r="L233" s="1">
        <f>SUM(OSRRefD21_21x_8)</f>
        <v>426.86</v>
      </c>
      <c r="M233" s="1">
        <f>SUM(OSRRefD21_21x_9)</f>
        <v>2485.8000000000002</v>
      </c>
      <c r="N233" s="1">
        <f>SUM(OSRRefE21_21x_0)</f>
        <v>1300</v>
      </c>
      <c r="O233" s="1">
        <f>SUM(OSRRefE21_21x_1)</f>
        <v>1500</v>
      </c>
      <c r="Q233" s="2">
        <f>SUM(OSRRefD20_21x)+IFERROR(SUM(OSRRefE20_21x),0)</f>
        <v>11331.21</v>
      </c>
    </row>
    <row r="234" spans="1:17" s="34" customFormat="1" hidden="1" outlineLevel="1" x14ac:dyDescent="0.25">
      <c r="A234" s="35"/>
      <c r="B234" s="10" t="str">
        <f>CONCATENATE("          ","6258", " - ","MEMBERSHIP DUES")</f>
        <v xml:space="preserve">          6258 - MEMBERSHIP DUES</v>
      </c>
      <c r="C234" s="11"/>
      <c r="D234" s="20">
        <v>290</v>
      </c>
      <c r="E234" s="20">
        <v>270</v>
      </c>
      <c r="F234" s="20">
        <v>73.040000000000006</v>
      </c>
      <c r="G234" s="20">
        <v>790.32</v>
      </c>
      <c r="H234" s="20">
        <v>520.91999999999996</v>
      </c>
      <c r="I234" s="20">
        <v>80.430000000000007</v>
      </c>
      <c r="J234" s="20">
        <v>462.61</v>
      </c>
      <c r="K234" s="20">
        <v>181.41</v>
      </c>
      <c r="L234" s="20">
        <v>232.79</v>
      </c>
      <c r="M234" s="20">
        <v>328.71</v>
      </c>
      <c r="N234" s="20">
        <v>1100</v>
      </c>
      <c r="O234" s="20">
        <v>1300</v>
      </c>
      <c r="P234" s="36"/>
      <c r="Q234" s="2">
        <f>SUM(OSRRefD21_21_0x)+IFERROR(SUM(OSRRefE21_21_0x),0)</f>
        <v>5630.23</v>
      </c>
    </row>
    <row r="235" spans="1:17" s="34" customFormat="1" hidden="1" outlineLevel="1" x14ac:dyDescent="0.25">
      <c r="A235" s="35"/>
      <c r="B235" s="10" t="str">
        <f>CONCATENATE("          ","6275", " - ","SUBSCRIPTIONS")</f>
        <v xml:space="preserve">          6275 - SUBSCRIPTIONS</v>
      </c>
      <c r="C235" s="11"/>
      <c r="D235" s="20">
        <v>84.32</v>
      </c>
      <c r="E235" s="20"/>
      <c r="F235" s="20">
        <v>207.07</v>
      </c>
      <c r="G235" s="20">
        <v>205.67</v>
      </c>
      <c r="H235" s="20"/>
      <c r="I235" s="20">
        <v>262.83999999999997</v>
      </c>
      <c r="J235" s="20">
        <v>1927.08</v>
      </c>
      <c r="K235" s="20">
        <v>262.83999999999997</v>
      </c>
      <c r="L235" s="20">
        <v>194.07</v>
      </c>
      <c r="M235" s="20">
        <v>2157.09</v>
      </c>
      <c r="N235" s="20">
        <v>200</v>
      </c>
      <c r="O235" s="20">
        <v>200</v>
      </c>
      <c r="P235" s="36"/>
      <c r="Q235" s="2">
        <f>SUM(OSRRefD21_21_1x)+IFERROR(SUM(OSRRefE21_21_1x),0)</f>
        <v>5700.98</v>
      </c>
    </row>
    <row r="236" spans="1:17" s="34" customFormat="1" collapsed="1" x14ac:dyDescent="0.25">
      <c r="A236" s="35"/>
      <c r="B236" s="11" t="str">
        <f>CONCATENATE("     ","Supplies                                          ")</f>
        <v xml:space="preserve">     Supplies                                          </v>
      </c>
      <c r="C236" s="11"/>
      <c r="D236" s="1">
        <f>SUM(OSRRefD21_22x_0)</f>
        <v>19842.560000000001</v>
      </c>
      <c r="E236" s="1">
        <f>SUM(OSRRefD21_22x_1)</f>
        <v>34496.480000000003</v>
      </c>
      <c r="F236" s="1">
        <f>SUM(OSRRefD21_22x_2)</f>
        <v>23781.030000000002</v>
      </c>
      <c r="G236" s="1">
        <f>SUM(OSRRefD21_22x_3)</f>
        <v>55339.390000000007</v>
      </c>
      <c r="H236" s="1">
        <f>SUM(OSRRefD21_22x_4)</f>
        <v>36435.480000000003</v>
      </c>
      <c r="I236" s="1">
        <f>SUM(OSRRefD21_22x_5)</f>
        <v>20744.980000000003</v>
      </c>
      <c r="J236" s="1">
        <f>SUM(OSRRefD21_22x_6)</f>
        <v>24642.68</v>
      </c>
      <c r="K236" s="1">
        <f>SUM(OSRRefD21_22x_7)</f>
        <v>20079.38</v>
      </c>
      <c r="L236" s="1">
        <f>SUM(OSRRefD21_22x_8)</f>
        <v>13419</v>
      </c>
      <c r="M236" s="1">
        <f>SUM(OSRRefD21_22x_9)</f>
        <v>25115.9</v>
      </c>
      <c r="N236" s="1">
        <f>SUM(OSRRefE21_22x_0)</f>
        <v>20963</v>
      </c>
      <c r="O236" s="1">
        <f>SUM(OSRRefE21_22x_1)</f>
        <v>13745</v>
      </c>
      <c r="Q236" s="2">
        <f>SUM(OSRRefD20_22x)+IFERROR(SUM(OSRRefE20_22x),0)</f>
        <v>308604.88000000006</v>
      </c>
    </row>
    <row r="237" spans="1:17" s="34" customFormat="1" hidden="1" outlineLevel="1" x14ac:dyDescent="0.25">
      <c r="A237" s="35"/>
      <c r="B237" s="10" t="str">
        <f>CONCATENATE("          ","6234", " - ","EXPENDABLE SUPPLIES &amp; EQUIPMEN")</f>
        <v xml:space="preserve">          6234 - EXPENDABLE SUPPLIES &amp; EQUIPMEN</v>
      </c>
      <c r="C237" s="11"/>
      <c r="D237" s="20"/>
      <c r="E237" s="20">
        <v>255.78</v>
      </c>
      <c r="F237" s="20">
        <v>316.67</v>
      </c>
      <c r="G237" s="20">
        <v>156.47</v>
      </c>
      <c r="H237" s="20">
        <v>-550.67999999999995</v>
      </c>
      <c r="I237" s="20"/>
      <c r="J237" s="20">
        <v>396.5</v>
      </c>
      <c r="K237" s="20"/>
      <c r="L237" s="20">
        <v>1733.49</v>
      </c>
      <c r="M237" s="20">
        <v>79.25</v>
      </c>
      <c r="N237" s="20">
        <v>7700</v>
      </c>
      <c r="O237" s="20">
        <v>7700</v>
      </c>
      <c r="P237" s="36"/>
      <c r="Q237" s="2">
        <f>SUM(OSRRefD21_22_0x)+IFERROR(SUM(OSRRefE21_22_0x),0)</f>
        <v>17787.48</v>
      </c>
    </row>
    <row r="238" spans="1:17" s="34" customFormat="1" hidden="1" outlineLevel="1" x14ac:dyDescent="0.25">
      <c r="A238" s="35"/>
      <c r="B238" s="10" t="str">
        <f>CONCATENATE("          ","6235", " - ","COVID-19 EXPENSES")</f>
        <v xml:space="preserve">          6235 - COVID-19 EXPENSES</v>
      </c>
      <c r="C238" s="11"/>
      <c r="D238" s="20">
        <v>12389.44</v>
      </c>
      <c r="E238" s="20">
        <v>9615.5400000000009</v>
      </c>
      <c r="F238" s="20">
        <v>6506.04</v>
      </c>
      <c r="G238" s="20">
        <v>36232.67</v>
      </c>
      <c r="H238" s="20">
        <v>14482.36</v>
      </c>
      <c r="I238" s="20">
        <v>7636.18</v>
      </c>
      <c r="J238" s="20">
        <v>5842.4</v>
      </c>
      <c r="K238" s="20">
        <v>5913.34</v>
      </c>
      <c r="L238" s="20">
        <v>370.83</v>
      </c>
      <c r="M238" s="20">
        <v>6394.44</v>
      </c>
      <c r="N238" s="20">
        <v>4450</v>
      </c>
      <c r="O238" s="20">
        <v>2450</v>
      </c>
      <c r="P238" s="36"/>
      <c r="Q238" s="2">
        <f>SUM(OSRRefD21_22_1x)+IFERROR(SUM(OSRRefE21_22_1x),0)</f>
        <v>112283.24</v>
      </c>
    </row>
    <row r="239" spans="1:17" s="34" customFormat="1" hidden="1" outlineLevel="1" x14ac:dyDescent="0.25">
      <c r="A239" s="35"/>
      <c r="B239" s="10" t="str">
        <f>CONCATENATE("          ","6237", " - ","JANITORIAL SUPPLIES")</f>
        <v xml:space="preserve">          6237 - JANITORIAL SUPPLIES</v>
      </c>
      <c r="C239" s="11"/>
      <c r="D239" s="20">
        <v>1327.35</v>
      </c>
      <c r="E239" s="20">
        <v>1416.91</v>
      </c>
      <c r="F239" s="20">
        <v>3806.33</v>
      </c>
      <c r="G239" s="20">
        <v>3175.55</v>
      </c>
      <c r="H239" s="20">
        <v>709.09</v>
      </c>
      <c r="I239" s="20">
        <v>5239.58</v>
      </c>
      <c r="J239" s="20">
        <v>4501.13</v>
      </c>
      <c r="K239" s="20">
        <v>648.99</v>
      </c>
      <c r="L239" s="20">
        <v>2592.08</v>
      </c>
      <c r="M239" s="20">
        <v>2490.7399999999998</v>
      </c>
      <c r="N239" s="20">
        <v>3420</v>
      </c>
      <c r="O239" s="20">
        <v>420</v>
      </c>
      <c r="P239" s="36"/>
      <c r="Q239" s="2">
        <f>SUM(OSRRefD21_22_2x)+IFERROR(SUM(OSRRefE21_22_2x),0)</f>
        <v>29747.75</v>
      </c>
    </row>
    <row r="240" spans="1:17" s="34" customFormat="1" hidden="1" outlineLevel="1" x14ac:dyDescent="0.25">
      <c r="A240" s="35"/>
      <c r="B240" s="10" t="str">
        <f>CONCATENATE("          ","6239", " - ","KITCHEN SUPPLIES")</f>
        <v xml:space="preserve">          6239 - KITCHEN SUPPLIES</v>
      </c>
      <c r="C240" s="11"/>
      <c r="D240" s="20">
        <v>50</v>
      </c>
      <c r="E240" s="20">
        <v>2324.31</v>
      </c>
      <c r="F240" s="20">
        <v>553.01</v>
      </c>
      <c r="G240" s="20">
        <v>1264.19</v>
      </c>
      <c r="H240" s="20">
        <v>1494.83</v>
      </c>
      <c r="I240" s="20">
        <v>148.04</v>
      </c>
      <c r="J240" s="20">
        <v>979.48</v>
      </c>
      <c r="K240" s="20">
        <v>253.3</v>
      </c>
      <c r="L240" s="20">
        <v>39.75</v>
      </c>
      <c r="M240" s="20">
        <v>160.30000000000001</v>
      </c>
      <c r="N240" s="20">
        <v>500</v>
      </c>
      <c r="O240" s="20">
        <v>0</v>
      </c>
      <c r="P240" s="36"/>
      <c r="Q240" s="2">
        <f>SUM(OSRRefD21_22_3x)+IFERROR(SUM(OSRRefE21_22_3x),0)</f>
        <v>7767.2100000000009</v>
      </c>
    </row>
    <row r="241" spans="1:17" s="34" customFormat="1" hidden="1" outlineLevel="1" x14ac:dyDescent="0.25">
      <c r="A241" s="35"/>
      <c r="B241" s="10" t="str">
        <f>CONCATENATE("          ","6241", " - ","OFFICE EXPENSE")</f>
        <v xml:space="preserve">          6241 - OFFICE EXPENSE</v>
      </c>
      <c r="C241" s="11"/>
      <c r="D241" s="20">
        <v>489.8</v>
      </c>
      <c r="E241" s="20">
        <v>9177.66</v>
      </c>
      <c r="F241" s="20">
        <v>5659.43</v>
      </c>
      <c r="G241" s="20">
        <v>6973.77</v>
      </c>
      <c r="H241" s="20">
        <v>2052.44</v>
      </c>
      <c r="I241" s="20">
        <v>2093.0700000000002</v>
      </c>
      <c r="J241" s="20">
        <v>1566.26</v>
      </c>
      <c r="K241" s="20">
        <v>1775.82</v>
      </c>
      <c r="L241" s="20">
        <v>1907.24</v>
      </c>
      <c r="M241" s="20">
        <v>4733.1099999999997</v>
      </c>
      <c r="N241" s="20">
        <v>775</v>
      </c>
      <c r="O241" s="20">
        <v>500</v>
      </c>
      <c r="P241" s="36"/>
      <c r="Q241" s="2">
        <f>SUM(OSRRefD21_22_4x)+IFERROR(SUM(OSRRefE21_22_4x),0)</f>
        <v>37703.599999999999</v>
      </c>
    </row>
    <row r="242" spans="1:17" s="34" customFormat="1" hidden="1" outlineLevel="1" x14ac:dyDescent="0.25">
      <c r="A242" s="35"/>
      <c r="B242" s="10" t="str">
        <f>CONCATENATE("          ","6243", " - ","PAPER SUPPLIES")</f>
        <v xml:space="preserve">          6243 - PAPER SUPPLIES</v>
      </c>
      <c r="C242" s="11"/>
      <c r="D242" s="20">
        <v>1727.88</v>
      </c>
      <c r="E242" s="20">
        <v>5056.9799999999996</v>
      </c>
      <c r="F242" s="20"/>
      <c r="G242" s="20">
        <v>3081.65</v>
      </c>
      <c r="H242" s="20">
        <v>6795.48</v>
      </c>
      <c r="I242" s="20">
        <v>3777.57</v>
      </c>
      <c r="J242" s="20">
        <v>2852.08</v>
      </c>
      <c r="K242" s="20">
        <v>7200.74</v>
      </c>
      <c r="L242" s="20">
        <v>4492.2299999999996</v>
      </c>
      <c r="M242" s="20">
        <v>7329.22</v>
      </c>
      <c r="N242" s="20">
        <v>1000</v>
      </c>
      <c r="O242" s="20">
        <v>350</v>
      </c>
      <c r="P242" s="36"/>
      <c r="Q242" s="2">
        <f>SUM(OSRRefD21_22_5x)+IFERROR(SUM(OSRRefE21_22_5x),0)</f>
        <v>43663.83</v>
      </c>
    </row>
    <row r="243" spans="1:17" s="34" customFormat="1" hidden="1" outlineLevel="1" x14ac:dyDescent="0.25">
      <c r="A243" s="35"/>
      <c r="B243" s="10" t="str">
        <f>CONCATENATE("          ","6244", " - ","SAFETY SUPPLY EXPENSE")</f>
        <v xml:space="preserve">          6244 - SAFETY SUPPLY EXPENSE</v>
      </c>
      <c r="C243" s="11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>
        <v>0</v>
      </c>
      <c r="O243" s="20">
        <v>0</v>
      </c>
      <c r="P243" s="36"/>
      <c r="Q243" s="2">
        <f>SUM(OSRRefD21_22_6x)+IFERROR(SUM(OSRRefE21_22_6x),0)</f>
        <v>0</v>
      </c>
    </row>
    <row r="244" spans="1:17" s="34" customFormat="1" hidden="1" outlineLevel="1" x14ac:dyDescent="0.25">
      <c r="A244" s="35"/>
      <c r="B244" s="10" t="str">
        <f>CONCATENATE("          ","6245", " - ","PRINTING")</f>
        <v xml:space="preserve">          6245 - PRINTING</v>
      </c>
      <c r="C244" s="11"/>
      <c r="D244" s="20">
        <v>-1543.5</v>
      </c>
      <c r="E244" s="20">
        <v>1248</v>
      </c>
      <c r="F244" s="20">
        <v>356.96</v>
      </c>
      <c r="G244" s="20">
        <v>353.09</v>
      </c>
      <c r="H244" s="20">
        <v>93.72</v>
      </c>
      <c r="I244" s="20"/>
      <c r="J244" s="20"/>
      <c r="K244" s="20">
        <v>398.67</v>
      </c>
      <c r="L244" s="20">
        <v>447.27</v>
      </c>
      <c r="M244" s="20">
        <v>1766.38</v>
      </c>
      <c r="N244" s="20">
        <v>525</v>
      </c>
      <c r="O244" s="20">
        <v>125</v>
      </c>
      <c r="P244" s="36"/>
      <c r="Q244" s="2">
        <f>SUM(OSRRefD21_22_7x)+IFERROR(SUM(OSRRefE21_22_7x),0)</f>
        <v>3770.59</v>
      </c>
    </row>
    <row r="245" spans="1:17" s="34" customFormat="1" hidden="1" outlineLevel="1" x14ac:dyDescent="0.25">
      <c r="A245" s="35"/>
      <c r="B245" s="10" t="str">
        <f>CONCATENATE("          ","6246", " - ","REPLACEMENTS")</f>
        <v xml:space="preserve">          6246 - REPLACEMENTS</v>
      </c>
      <c r="C245" s="11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>
        <v>0</v>
      </c>
      <c r="O245" s="20">
        <v>0</v>
      </c>
      <c r="P245" s="36"/>
      <c r="Q245" s="2">
        <f>SUM(OSRRefD21_22_8x)+IFERROR(SUM(OSRRefE21_22_8x),0)</f>
        <v>0</v>
      </c>
    </row>
    <row r="246" spans="1:17" s="34" customFormat="1" hidden="1" outlineLevel="1" x14ac:dyDescent="0.25">
      <c r="A246" s="35"/>
      <c r="B246" s="10" t="str">
        <f>CONCATENATE("          ","6247", " - ","STORE SUPPLIES")</f>
        <v xml:space="preserve">          6247 - STORE SUPPLIES</v>
      </c>
      <c r="C246" s="11"/>
      <c r="D246" s="20">
        <v>5401.59</v>
      </c>
      <c r="E246" s="20">
        <v>1890.32</v>
      </c>
      <c r="F246" s="20">
        <v>6278.89</v>
      </c>
      <c r="G246" s="20">
        <v>4102</v>
      </c>
      <c r="H246" s="20">
        <v>10672.33</v>
      </c>
      <c r="I246" s="20">
        <v>1850.54</v>
      </c>
      <c r="J246" s="20">
        <v>8504.83</v>
      </c>
      <c r="K246" s="20">
        <v>3888.52</v>
      </c>
      <c r="L246" s="20">
        <v>1836.11</v>
      </c>
      <c r="M246" s="20">
        <v>2162.46</v>
      </c>
      <c r="N246" s="20">
        <v>1243</v>
      </c>
      <c r="O246" s="20">
        <v>1200</v>
      </c>
      <c r="P246" s="36"/>
      <c r="Q246" s="2">
        <f>SUM(OSRRefD21_22_9x)+IFERROR(SUM(OSRRefE21_22_9x),0)</f>
        <v>49030.59</v>
      </c>
    </row>
    <row r="247" spans="1:17" s="34" customFormat="1" hidden="1" outlineLevel="1" x14ac:dyDescent="0.25">
      <c r="A247" s="35"/>
      <c r="B247" s="10" t="str">
        <f>CONCATENATE("          ","6248", " - ","UNIFORMS")</f>
        <v xml:space="preserve">          6248 - UNIFORMS</v>
      </c>
      <c r="C247" s="11"/>
      <c r="D247" s="20"/>
      <c r="E247" s="20">
        <v>3510.98</v>
      </c>
      <c r="F247" s="20">
        <v>303.7</v>
      </c>
      <c r="G247" s="20"/>
      <c r="H247" s="20">
        <v>685.91</v>
      </c>
      <c r="I247" s="20"/>
      <c r="J247" s="20"/>
      <c r="K247" s="20"/>
      <c r="L247" s="20"/>
      <c r="M247" s="20"/>
      <c r="N247" s="20">
        <v>1350</v>
      </c>
      <c r="O247" s="20">
        <v>1000</v>
      </c>
      <c r="P247" s="36"/>
      <c r="Q247" s="2">
        <f>SUM(OSRRefD21_22_10x)+IFERROR(SUM(OSRRefE21_22_10x),0)</f>
        <v>6850.59</v>
      </c>
    </row>
    <row r="248" spans="1:17" s="34" customFormat="1" collapsed="1" x14ac:dyDescent="0.25">
      <c r="A248" s="35"/>
      <c r="B248" s="11" t="str">
        <f>CONCATENATE("     ","Telephone/Data Lines                              ")</f>
        <v xml:space="preserve">     Telephone/Data Lines                              </v>
      </c>
      <c r="C248" s="11"/>
      <c r="D248" s="1">
        <f>SUM(OSRRefD21_23x_0)</f>
        <v>5058.1099999999997</v>
      </c>
      <c r="E248" s="1">
        <f>SUM(OSRRefD21_23x_1)</f>
        <v>4790.92</v>
      </c>
      <c r="F248" s="1">
        <f>SUM(OSRRefD21_23x_2)</f>
        <v>8053.04</v>
      </c>
      <c r="G248" s="1">
        <f>SUM(OSRRefD21_23x_3)</f>
        <v>3403.26</v>
      </c>
      <c r="H248" s="1">
        <f>SUM(OSRRefD21_23x_4)</f>
        <v>4365.58</v>
      </c>
      <c r="I248" s="1">
        <f>SUM(OSRRefD21_23x_5)</f>
        <v>3757.29</v>
      </c>
      <c r="J248" s="1">
        <f>SUM(OSRRefD21_23x_6)</f>
        <v>3297.31</v>
      </c>
      <c r="K248" s="1">
        <f>SUM(OSRRefD21_23x_7)</f>
        <v>2147.4899999999998</v>
      </c>
      <c r="L248" s="1">
        <f>SUM(OSRRefD21_23x_8)</f>
        <v>2631.37</v>
      </c>
      <c r="M248" s="1">
        <f>SUM(OSRRefD21_23x_9)</f>
        <v>3143.26</v>
      </c>
      <c r="N248" s="1">
        <f>SUM(OSRRefE21_23x_0)</f>
        <v>3980</v>
      </c>
      <c r="O248" s="1">
        <f>SUM(OSRRefE21_23x_1)</f>
        <v>4130</v>
      </c>
      <c r="Q248" s="2">
        <f>SUM(OSRRefD20_23x)+IFERROR(SUM(OSRRefE20_23x),0)</f>
        <v>48757.630000000012</v>
      </c>
    </row>
    <row r="249" spans="1:17" s="34" customFormat="1" hidden="1" outlineLevel="1" x14ac:dyDescent="0.25">
      <c r="A249" s="35"/>
      <c r="B249" s="10" t="str">
        <f>CONCATENATE("          ","6303", " - ","DATA PHONE LINES")</f>
        <v xml:space="preserve">          6303 - DATA PHONE LINES</v>
      </c>
      <c r="C249" s="11"/>
      <c r="D249" s="20">
        <v>295</v>
      </c>
      <c r="E249" s="20"/>
      <c r="F249" s="20">
        <v>885</v>
      </c>
      <c r="G249" s="20"/>
      <c r="H249" s="20">
        <v>885</v>
      </c>
      <c r="I249" s="20"/>
      <c r="J249" s="20">
        <v>295</v>
      </c>
      <c r="K249" s="20">
        <v>590</v>
      </c>
      <c r="L249" s="20"/>
      <c r="M249" s="20">
        <v>590</v>
      </c>
      <c r="N249" s="20">
        <v>1280</v>
      </c>
      <c r="O249" s="20">
        <v>1280</v>
      </c>
      <c r="P249" s="36"/>
      <c r="Q249" s="2">
        <f>SUM(OSRRefD21_23_0x)+IFERROR(SUM(OSRRefE21_23_0x),0)</f>
        <v>6100</v>
      </c>
    </row>
    <row r="250" spans="1:17" s="34" customFormat="1" hidden="1" outlineLevel="1" x14ac:dyDescent="0.25">
      <c r="A250" s="35"/>
      <c r="B250" s="10" t="str">
        <f>CONCATENATE("          ","6309", " - ","TELEPHONE")</f>
        <v xml:space="preserve">          6309 - TELEPHONE</v>
      </c>
      <c r="C250" s="11"/>
      <c r="D250" s="20">
        <v>4763.1099999999997</v>
      </c>
      <c r="E250" s="20">
        <v>4790.92</v>
      </c>
      <c r="F250" s="20">
        <v>7168.04</v>
      </c>
      <c r="G250" s="20">
        <v>3403.26</v>
      </c>
      <c r="H250" s="20">
        <v>3480.58</v>
      </c>
      <c r="I250" s="20">
        <v>3757.29</v>
      </c>
      <c r="J250" s="20">
        <v>3002.31</v>
      </c>
      <c r="K250" s="20">
        <v>1557.49</v>
      </c>
      <c r="L250" s="20">
        <v>2631.37</v>
      </c>
      <c r="M250" s="20">
        <v>2553.2600000000002</v>
      </c>
      <c r="N250" s="20">
        <v>2700</v>
      </c>
      <c r="O250" s="20">
        <v>2850</v>
      </c>
      <c r="P250" s="36"/>
      <c r="Q250" s="2">
        <f>SUM(OSRRefD21_23_1x)+IFERROR(SUM(OSRRefE21_23_1x),0)</f>
        <v>42657.630000000012</v>
      </c>
    </row>
    <row r="251" spans="1:17" s="34" customFormat="1" collapsed="1" x14ac:dyDescent="0.25">
      <c r="A251" s="35"/>
      <c r="B251" s="11" t="str">
        <f>CONCATENATE("     ","Training                                          ")</f>
        <v xml:space="preserve">     Training                                          </v>
      </c>
      <c r="C251" s="11"/>
      <c r="D251" s="1">
        <f>SUM(OSRRefD21_24x_0)</f>
        <v>131.63</v>
      </c>
      <c r="E251" s="1">
        <f>SUM(OSRRefD21_24x_1)</f>
        <v>350</v>
      </c>
      <c r="F251" s="1">
        <f>SUM(OSRRefD21_24x_2)</f>
        <v>0</v>
      </c>
      <c r="G251" s="1">
        <f>SUM(OSRRefD21_24x_3)</f>
        <v>499</v>
      </c>
      <c r="H251" s="1">
        <f>SUM(OSRRefD21_24x_4)</f>
        <v>400</v>
      </c>
      <c r="I251" s="1">
        <f>SUM(OSRRefD21_24x_5)</f>
        <v>0</v>
      </c>
      <c r="J251" s="1">
        <f>SUM(OSRRefD21_24x_6)</f>
        <v>0</v>
      </c>
      <c r="K251" s="1">
        <f>SUM(OSRRefD21_24x_7)</f>
        <v>750</v>
      </c>
      <c r="L251" s="1">
        <f>SUM(OSRRefD21_24x_8)</f>
        <v>51.23</v>
      </c>
      <c r="M251" s="1">
        <f>SUM(OSRRefD21_24x_9)</f>
        <v>0</v>
      </c>
      <c r="N251" s="1">
        <f>SUM(OSRRefE21_24x_0)</f>
        <v>550</v>
      </c>
      <c r="O251" s="1">
        <f>SUM(OSRRefE21_24x_1)</f>
        <v>550</v>
      </c>
      <c r="Q251" s="2">
        <f>SUM(OSRRefD20_24x)+IFERROR(SUM(OSRRefE20_24x),0)</f>
        <v>3281.86</v>
      </c>
    </row>
    <row r="252" spans="1:17" s="34" customFormat="1" hidden="1" outlineLevel="1" x14ac:dyDescent="0.25">
      <c r="A252" s="35"/>
      <c r="B252" s="10" t="str">
        <f>CONCATENATE("          ","6376", " - ","TRAINING")</f>
        <v xml:space="preserve">          6376 - TRAINING</v>
      </c>
      <c r="C252" s="11"/>
      <c r="D252" s="20">
        <v>131.63</v>
      </c>
      <c r="E252" s="20">
        <v>350</v>
      </c>
      <c r="F252" s="20"/>
      <c r="G252" s="20">
        <v>499</v>
      </c>
      <c r="H252" s="20">
        <v>400</v>
      </c>
      <c r="I252" s="20"/>
      <c r="J252" s="20"/>
      <c r="K252" s="20">
        <v>750</v>
      </c>
      <c r="L252" s="20">
        <v>51.23</v>
      </c>
      <c r="M252" s="20"/>
      <c r="N252" s="20">
        <v>550</v>
      </c>
      <c r="O252" s="20">
        <v>550</v>
      </c>
      <c r="P252" s="36"/>
      <c r="Q252" s="2">
        <f>SUM(OSRRefD21_24_0x)+IFERROR(SUM(OSRRefE21_24_0x),0)</f>
        <v>3281.86</v>
      </c>
    </row>
    <row r="253" spans="1:17" s="34" customFormat="1" collapsed="1" x14ac:dyDescent="0.25">
      <c r="A253" s="35"/>
      <c r="B253" s="11" t="str">
        <f>CONCATENATE("     ","Travel                                            ")</f>
        <v xml:space="preserve">     Travel                                            </v>
      </c>
      <c r="C253" s="11"/>
      <c r="D253" s="1">
        <f>SUM(OSRRefD21_25x_0)</f>
        <v>454.9</v>
      </c>
      <c r="E253" s="1">
        <f>SUM(OSRRefD21_25x_1)</f>
        <v>25.76</v>
      </c>
      <c r="F253" s="1">
        <f>SUM(OSRRefD21_25x_2)</f>
        <v>152.52000000000001</v>
      </c>
      <c r="G253" s="1">
        <f>SUM(OSRRefD21_25x_3)</f>
        <v>80.959999999999994</v>
      </c>
      <c r="H253" s="1">
        <f>SUM(OSRRefD21_25x_4)</f>
        <v>299</v>
      </c>
      <c r="I253" s="1">
        <f>SUM(OSRRefD21_25x_5)</f>
        <v>0</v>
      </c>
      <c r="J253" s="1">
        <f>SUM(OSRRefD21_25x_6)</f>
        <v>129.38</v>
      </c>
      <c r="K253" s="1">
        <f>SUM(OSRRefD21_25x_7)</f>
        <v>0</v>
      </c>
      <c r="L253" s="1">
        <f>SUM(OSRRefD21_25x_8)</f>
        <v>93.02</v>
      </c>
      <c r="M253" s="1">
        <f>SUM(OSRRefD21_25x_9)</f>
        <v>229.37</v>
      </c>
      <c r="N253" s="1">
        <f>SUM(OSRRefE21_25x_0)</f>
        <v>325</v>
      </c>
      <c r="O253" s="1">
        <f>SUM(OSRRefE21_25x_1)</f>
        <v>325</v>
      </c>
      <c r="Q253" s="2">
        <f>SUM(OSRRefD20_25x)+IFERROR(SUM(OSRRefE20_25x),0)</f>
        <v>2114.91</v>
      </c>
    </row>
    <row r="254" spans="1:17" s="34" customFormat="1" hidden="1" outlineLevel="1" x14ac:dyDescent="0.25">
      <c r="A254" s="35"/>
      <c r="B254" s="10" t="str">
        <f>CONCATENATE("          ","6292", " - ","TRAVEL/CONFERENCE")</f>
        <v xml:space="preserve">          6292 - TRAVEL/CONFERENCE</v>
      </c>
      <c r="C254" s="11"/>
      <c r="D254" s="20">
        <v>0.16</v>
      </c>
      <c r="E254" s="20"/>
      <c r="F254" s="20"/>
      <c r="G254" s="20"/>
      <c r="H254" s="20">
        <v>299</v>
      </c>
      <c r="I254" s="20"/>
      <c r="J254" s="20"/>
      <c r="K254" s="20"/>
      <c r="L254" s="20"/>
      <c r="M254" s="20"/>
      <c r="N254" s="20">
        <v>300</v>
      </c>
      <c r="O254" s="20">
        <v>300</v>
      </c>
      <c r="P254" s="36"/>
      <c r="Q254" s="2">
        <f>SUM(OSRRefD21_25_0x)+IFERROR(SUM(OSRRefE21_25_0x),0)</f>
        <v>899.16000000000008</v>
      </c>
    </row>
    <row r="255" spans="1:17" s="34" customFormat="1" hidden="1" outlineLevel="1" x14ac:dyDescent="0.25">
      <c r="A255" s="35"/>
      <c r="B255" s="10" t="str">
        <f>CONCATENATE("          ","6294", " - ","TRAVEL OPERATIONAL")</f>
        <v xml:space="preserve">          6294 - TRAVEL OPERATIONAL</v>
      </c>
      <c r="C255" s="11"/>
      <c r="D255" s="20">
        <v>215.16</v>
      </c>
      <c r="E255" s="20">
        <v>25.76</v>
      </c>
      <c r="F255" s="20"/>
      <c r="G255" s="20">
        <v>80.959999999999994</v>
      </c>
      <c r="H255" s="20"/>
      <c r="I255" s="20"/>
      <c r="J255" s="20">
        <v>129.38</v>
      </c>
      <c r="K255" s="20"/>
      <c r="L255" s="20">
        <v>93.02</v>
      </c>
      <c r="M255" s="20">
        <v>229.37</v>
      </c>
      <c r="N255" s="20">
        <v>0</v>
      </c>
      <c r="O255" s="20">
        <v>0</v>
      </c>
      <c r="P255" s="36"/>
      <c r="Q255" s="2">
        <f>SUM(OSRRefD21_25_1x)+IFERROR(SUM(OSRRefE21_25_1x),0)</f>
        <v>773.65</v>
      </c>
    </row>
    <row r="256" spans="1:17" s="34" customFormat="1" hidden="1" outlineLevel="1" x14ac:dyDescent="0.25">
      <c r="A256" s="35"/>
      <c r="B256" s="10" t="str">
        <f>CONCATENATE("          ","6298", " - ","VEHICLE MILEAGE")</f>
        <v xml:space="preserve">          6298 - VEHICLE MILEAGE</v>
      </c>
      <c r="C256" s="11"/>
      <c r="D256" s="20">
        <v>239.58</v>
      </c>
      <c r="E256" s="20"/>
      <c r="F256" s="20">
        <v>152.52000000000001</v>
      </c>
      <c r="G256" s="20"/>
      <c r="H256" s="20"/>
      <c r="I256" s="20"/>
      <c r="J256" s="20"/>
      <c r="K256" s="20"/>
      <c r="L256" s="20"/>
      <c r="M256" s="20"/>
      <c r="N256" s="20">
        <v>25</v>
      </c>
      <c r="O256" s="20">
        <v>25</v>
      </c>
      <c r="P256" s="36"/>
      <c r="Q256" s="2">
        <f>SUM(OSRRefD21_25_2x)+IFERROR(SUM(OSRRefE21_25_2x),0)</f>
        <v>442.1</v>
      </c>
    </row>
    <row r="257" spans="1:17" s="34" customFormat="1" collapsed="1" x14ac:dyDescent="0.25">
      <c r="A257" s="35"/>
      <c r="B257" s="11" t="str">
        <f>CONCATENATE("     ","Utilities                                         ")</f>
        <v xml:space="preserve">     Utilities                                         </v>
      </c>
      <c r="C257" s="11"/>
      <c r="D257" s="1">
        <f>SUM(OSRRefD21_26x_0)</f>
        <v>8511.4599999999991</v>
      </c>
      <c r="E257" s="1">
        <f>SUM(OSRRefD21_26x_1)</f>
        <v>8509.91</v>
      </c>
      <c r="F257" s="1">
        <f>SUM(OSRRefD21_26x_2)</f>
        <v>8511.01</v>
      </c>
      <c r="G257" s="1">
        <f>SUM(OSRRefD21_26x_3)</f>
        <v>-6138.95</v>
      </c>
      <c r="H257" s="1">
        <f>SUM(OSRRefD21_26x_4)</f>
        <v>10946.38</v>
      </c>
      <c r="I257" s="1">
        <f>SUM(OSRRefD21_26x_5)</f>
        <v>10971.61</v>
      </c>
      <c r="J257" s="1">
        <f>SUM(OSRRefD21_26x_6)</f>
        <v>10961.61</v>
      </c>
      <c r="K257" s="1">
        <f>SUM(OSRRefD21_26x_7)</f>
        <v>10957.14</v>
      </c>
      <c r="L257" s="1">
        <f>SUM(OSRRefD21_26x_8)</f>
        <v>-7524.55</v>
      </c>
      <c r="M257" s="1">
        <f>SUM(OSRRefD21_26x_9)</f>
        <v>10945.93</v>
      </c>
      <c r="N257" s="1">
        <f>SUM(OSRRefE21_26x_0)</f>
        <v>10255</v>
      </c>
      <c r="O257" s="1">
        <f>SUM(OSRRefE21_26x_1)</f>
        <v>10255</v>
      </c>
      <c r="Q257" s="2">
        <f>SUM(OSRRefD20_26x)+IFERROR(SUM(OSRRefE20_26x),0)</f>
        <v>87161.549999999988</v>
      </c>
    </row>
    <row r="258" spans="1:17" s="34" customFormat="1" hidden="1" outlineLevel="1" x14ac:dyDescent="0.25">
      <c r="A258" s="35"/>
      <c r="B258" s="10" t="str">
        <f>CONCATENATE("          ","6274", " - ","UTILITIES")</f>
        <v xml:space="preserve">          6274 - UTILITIES</v>
      </c>
      <c r="C258" s="11"/>
      <c r="D258" s="20">
        <v>8511.4599999999991</v>
      </c>
      <c r="E258" s="20">
        <v>8509.91</v>
      </c>
      <c r="F258" s="20">
        <v>8511.01</v>
      </c>
      <c r="G258" s="20">
        <v>-6138.95</v>
      </c>
      <c r="H258" s="20">
        <v>10946.38</v>
      </c>
      <c r="I258" s="20">
        <v>10971.61</v>
      </c>
      <c r="J258" s="20">
        <v>10961.61</v>
      </c>
      <c r="K258" s="20">
        <v>10957.14</v>
      </c>
      <c r="L258" s="20">
        <v>-7524.55</v>
      </c>
      <c r="M258" s="20">
        <v>10945.93</v>
      </c>
      <c r="N258" s="20">
        <v>10255</v>
      </c>
      <c r="O258" s="20">
        <v>10255</v>
      </c>
      <c r="P258" s="36"/>
      <c r="Q258" s="2">
        <f>SUM(OSRRefD21_26_0x)+IFERROR(SUM(OSRRefE21_26_0x),0)</f>
        <v>87161.549999999988</v>
      </c>
    </row>
    <row r="259" spans="1:17" s="30" customFormat="1" x14ac:dyDescent="0.25">
      <c r="A259" s="21"/>
      <c r="B259" s="21"/>
      <c r="C259" s="2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Q259" s="1"/>
    </row>
    <row r="260" spans="1:17" s="9" customFormat="1" x14ac:dyDescent="0.25">
      <c r="A260" s="23"/>
      <c r="B260" s="16" t="s">
        <v>291</v>
      </c>
      <c r="C260" s="22"/>
      <c r="D260" s="3">
        <f>--199738.73</f>
        <v>199738.73</v>
      </c>
      <c r="E260" s="3">
        <f>--57792.15</f>
        <v>57792.15</v>
      </c>
      <c r="F260" s="3">
        <f>--168011.96</f>
        <v>168011.96</v>
      </c>
      <c r="G260" s="3">
        <f>--32628.18</f>
        <v>32628.18</v>
      </c>
      <c r="H260" s="3">
        <f>--72335.21</f>
        <v>72335.210000000006</v>
      </c>
      <c r="I260" s="3">
        <f>--30857.81</f>
        <v>30857.81</v>
      </c>
      <c r="J260" s="3">
        <f>--33489.15</f>
        <v>33489.15</v>
      </c>
      <c r="K260" s="3">
        <f>--199158.76</f>
        <v>199158.76</v>
      </c>
      <c r="L260" s="3">
        <f>--217934.5</f>
        <v>217934.5</v>
      </c>
      <c r="M260" s="3">
        <f>--9388.5</f>
        <v>9388.5</v>
      </c>
      <c r="N260" s="3">
        <v>10296</v>
      </c>
      <c r="O260" s="3">
        <v>237052</v>
      </c>
      <c r="P260" s="24"/>
      <c r="Q260" s="2">
        <f>SUM(OSRRefD23_0x)+IFERROR(SUM(OSRRefE23_0x),0)</f>
        <v>1268682.9500000002</v>
      </c>
    </row>
    <row r="261" spans="1:17" x14ac:dyDescent="0.25">
      <c r="A261" s="5"/>
      <c r="B261" s="6"/>
      <c r="C261" s="6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Q261" s="3"/>
    </row>
    <row r="262" spans="1:17" s="15" customFormat="1" x14ac:dyDescent="0.25">
      <c r="A262" s="6"/>
      <c r="B262" s="17" t="s">
        <v>274</v>
      </c>
      <c r="C262" s="17"/>
      <c r="D262" s="8">
        <f t="shared" ref="D262:O262" si="50">IFERROR(+D152-D155+D260, 0)</f>
        <v>-360053.69000000006</v>
      </c>
      <c r="E262" s="8">
        <f t="shared" si="50"/>
        <v>51590.330000000053</v>
      </c>
      <c r="F262" s="8">
        <f t="shared" si="50"/>
        <v>-164659.3299999997</v>
      </c>
      <c r="G262" s="8">
        <f t="shared" si="50"/>
        <v>-535067.68999999959</v>
      </c>
      <c r="H262" s="8">
        <f t="shared" si="50"/>
        <v>-341238.00999999966</v>
      </c>
      <c r="I262" s="8">
        <f t="shared" si="50"/>
        <v>-399384.99</v>
      </c>
      <c r="J262" s="8">
        <f t="shared" si="50"/>
        <v>-65811.589999999764</v>
      </c>
      <c r="K262" s="8">
        <f t="shared" si="50"/>
        <v>-225248.67999999982</v>
      </c>
      <c r="L262" s="8">
        <f t="shared" si="50"/>
        <v>-81603.8299999999</v>
      </c>
      <c r="M262" s="8">
        <f t="shared" si="50"/>
        <v>-268039.45999999996</v>
      </c>
      <c r="N262" s="8">
        <f t="shared" si="50"/>
        <v>-455803.15115574724</v>
      </c>
      <c r="O262" s="8">
        <f t="shared" si="50"/>
        <v>-249752.66717622895</v>
      </c>
      <c r="Q262" s="8">
        <f>IFERROR(+Q152-Q155+Q260, 0)</f>
        <v>-3095072.7583319768</v>
      </c>
    </row>
    <row r="263" spans="1:17" s="6" customFormat="1" x14ac:dyDescent="0.25">
      <c r="B263" s="16"/>
      <c r="C263" s="16"/>
      <c r="D263" s="4">
        <f t="shared" ref="D263:O263" si="51">IFERROR(D262/D10, 0)</f>
        <v>-0.75497491498100844</v>
      </c>
      <c r="E263" s="4">
        <f t="shared" si="51"/>
        <v>2.3333564375904097E-2</v>
      </c>
      <c r="F263" s="4">
        <f t="shared" si="51"/>
        <v>-0.18381331938879697</v>
      </c>
      <c r="G263" s="4">
        <f t="shared" si="51"/>
        <v>-0.78665538142776847</v>
      </c>
      <c r="H263" s="4">
        <f t="shared" si="51"/>
        <v>-0.86278679535085445</v>
      </c>
      <c r="I263" s="4">
        <f t="shared" si="51"/>
        <v>-0.82594815080030726</v>
      </c>
      <c r="J263" s="4">
        <f t="shared" si="51"/>
        <v>-4.5004789122849241E-2</v>
      </c>
      <c r="K263" s="4">
        <f t="shared" si="51"/>
        <v>-0.41244491951216072</v>
      </c>
      <c r="L263" s="4">
        <f t="shared" si="51"/>
        <v>-0.10027914511273127</v>
      </c>
      <c r="M263" s="4">
        <f t="shared" si="51"/>
        <v>-0.25805958614010038</v>
      </c>
      <c r="N263" s="4">
        <f t="shared" si="51"/>
        <v>-0.96262036875359103</v>
      </c>
      <c r="O263" s="4">
        <f t="shared" si="51"/>
        <v>-0.4908787297318955</v>
      </c>
      <c r="P263" s="18"/>
      <c r="Q263" s="4">
        <f>IFERROR(Q262/Q10, 0)</f>
        <v>-0.30993762887996196</v>
      </c>
    </row>
    <row r="264" spans="1:17" x14ac:dyDescent="0.25">
      <c r="A264" s="5"/>
      <c r="B264" s="6"/>
      <c r="C264" s="5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Q264" s="3"/>
    </row>
    <row r="265" spans="1:17" s="15" customFormat="1" x14ac:dyDescent="0.25">
      <c r="A265" s="25"/>
      <c r="B265" s="6" t="s">
        <v>125</v>
      </c>
      <c r="C265" s="6"/>
      <c r="D265" s="3">
        <v>234703.24</v>
      </c>
      <c r="E265" s="3">
        <v>219113.02</v>
      </c>
      <c r="F265" s="3">
        <v>210081.48</v>
      </c>
      <c r="G265" s="3">
        <v>259749.95</v>
      </c>
      <c r="H265" s="3">
        <v>-183271.43</v>
      </c>
      <c r="I265" s="3">
        <v>211174.95</v>
      </c>
      <c r="J265" s="3">
        <v>247477.45</v>
      </c>
      <c r="K265" s="3">
        <v>217201.57</v>
      </c>
      <c r="L265" s="3">
        <v>225320.12</v>
      </c>
      <c r="M265" s="3">
        <v>242086.48</v>
      </c>
      <c r="N265" s="3">
        <v>241072</v>
      </c>
      <c r="O265" s="3">
        <v>245654</v>
      </c>
      <c r="P265" s="24"/>
      <c r="Q265" s="2">
        <f>SUM(OSRRefD28_0x)+IFERROR(SUM(OSRRefE28_0x),0)</f>
        <v>2370362.83</v>
      </c>
    </row>
    <row r="266" spans="1:17" x14ac:dyDescent="0.25">
      <c r="A266" s="5"/>
      <c r="B266" s="6"/>
      <c r="C266" s="6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Q266" s="3"/>
    </row>
    <row r="267" spans="1:17" s="15" customFormat="1" ht="15.75" thickBot="1" x14ac:dyDescent="0.3">
      <c r="A267" s="6"/>
      <c r="B267" s="17" t="s">
        <v>124</v>
      </c>
      <c r="C267" s="17"/>
      <c r="D267" s="7">
        <f t="shared" ref="D267:O267" si="52">IFERROR(+D262-D265, 0)</f>
        <v>-594756.93000000005</v>
      </c>
      <c r="E267" s="7">
        <f t="shared" si="52"/>
        <v>-167522.68999999994</v>
      </c>
      <c r="F267" s="7">
        <f t="shared" si="52"/>
        <v>-374740.80999999971</v>
      </c>
      <c r="G267" s="7">
        <f t="shared" si="52"/>
        <v>-794817.63999999966</v>
      </c>
      <c r="H267" s="7">
        <f t="shared" si="52"/>
        <v>-157966.57999999967</v>
      </c>
      <c r="I267" s="7">
        <f t="shared" si="52"/>
        <v>-610559.93999999994</v>
      </c>
      <c r="J267" s="7">
        <f t="shared" si="52"/>
        <v>-313289.0399999998</v>
      </c>
      <c r="K267" s="7">
        <f t="shared" si="52"/>
        <v>-442450.24999999983</v>
      </c>
      <c r="L267" s="7">
        <f t="shared" si="52"/>
        <v>-306923.9499999999</v>
      </c>
      <c r="M267" s="7">
        <f t="shared" si="52"/>
        <v>-510125.93999999994</v>
      </c>
      <c r="N267" s="7">
        <f t="shared" si="52"/>
        <v>-696875.15115574724</v>
      </c>
      <c r="O267" s="7">
        <f t="shared" si="52"/>
        <v>-495406.66717622895</v>
      </c>
      <c r="Q267" s="7">
        <f>IFERROR(+Q262-Q265, 0)</f>
        <v>-5465435.5883319769</v>
      </c>
    </row>
    <row r="268" spans="1:17" s="6" customFormat="1" ht="15.75" thickTop="1" x14ac:dyDescent="0.25">
      <c r="B268" s="16"/>
      <c r="C268" s="16"/>
      <c r="D268" s="4">
        <f t="shared" ref="D268:O268" si="53">IFERROR(D267/D10, 0)</f>
        <v>-1.2471100147900598</v>
      </c>
      <c r="E268" s="4">
        <f t="shared" si="53"/>
        <v>-7.5768103664768577E-2</v>
      </c>
      <c r="F268" s="4">
        <f t="shared" si="53"/>
        <v>-0.41833251839750929</v>
      </c>
      <c r="G268" s="4">
        <f t="shared" si="53"/>
        <v>-1.1685392062445763</v>
      </c>
      <c r="H268" s="4">
        <f t="shared" si="53"/>
        <v>-0.39940298365570187</v>
      </c>
      <c r="I268" s="4">
        <f t="shared" si="53"/>
        <v>-1.2626685179023542</v>
      </c>
      <c r="J268" s="4">
        <f t="shared" si="53"/>
        <v>-0.21424048833495624</v>
      </c>
      <c r="K268" s="4">
        <f t="shared" si="53"/>
        <v>-0.81015505950749844</v>
      </c>
      <c r="L268" s="4">
        <f t="shared" si="53"/>
        <v>-0.37716454387769183</v>
      </c>
      <c r="M268" s="4">
        <f t="shared" si="53"/>
        <v>-0.49113249577405388</v>
      </c>
      <c r="N268" s="4">
        <f t="shared" si="53"/>
        <v>-1.4717454525704663</v>
      </c>
      <c r="O268" s="4">
        <f t="shared" si="53"/>
        <v>-0.9737016954961476</v>
      </c>
      <c r="P268" s="18"/>
      <c r="Q268" s="4">
        <f>IFERROR(Q267/Q10, 0)</f>
        <v>-0.54730349794965327</v>
      </c>
    </row>
    <row r="269" spans="1:17" x14ac:dyDescent="0.25">
      <c r="A269" s="5"/>
      <c r="B269" s="5"/>
      <c r="C269" s="5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Q269" s="3"/>
    </row>
    <row r="270" spans="1:17" s="15" customFormat="1" x14ac:dyDescent="0.25">
      <c r="A270" s="25"/>
      <c r="B270" s="6" t="s">
        <v>181</v>
      </c>
      <c r="C270" s="6"/>
      <c r="D270" s="3">
        <f>--463883.16</f>
        <v>463883.16</v>
      </c>
      <c r="E270" s="3">
        <f>--487459.55</f>
        <v>487459.55</v>
      </c>
      <c r="F270" s="3">
        <f>-231583.65</f>
        <v>-231583.65</v>
      </c>
      <c r="G270" s="3">
        <f>-139066.28</f>
        <v>-139066.28</v>
      </c>
      <c r="H270" s="3">
        <f>--1068713.4</f>
        <v>1068713.3999999999</v>
      </c>
      <c r="I270" s="3">
        <f>--344647.12</f>
        <v>344647.12</v>
      </c>
      <c r="J270" s="3">
        <f>-35869.32</f>
        <v>-35869.32</v>
      </c>
      <c r="K270" s="3">
        <f>--233369.99</f>
        <v>233369.99</v>
      </c>
      <c r="L270" s="3">
        <f>--105259.22</f>
        <v>105259.22</v>
      </c>
      <c r="M270" s="3">
        <f>--334683.71</f>
        <v>334683.71000000002</v>
      </c>
      <c r="N270" s="3">
        <f t="shared" ref="N270:O271" si="54">--15000</f>
        <v>15000</v>
      </c>
      <c r="O270" s="3">
        <f t="shared" si="54"/>
        <v>15000</v>
      </c>
      <c r="P270" s="24"/>
      <c r="Q270" s="2">
        <f>SUM(OSRRefD33_0x)+IFERROR(SUM(OSRRefE33_0x),0)</f>
        <v>2661496.9</v>
      </c>
    </row>
    <row r="271" spans="1:17" s="15" customFormat="1" x14ac:dyDescent="0.25">
      <c r="A271" s="25"/>
      <c r="B271" s="6" t="s">
        <v>79</v>
      </c>
      <c r="C271" s="6"/>
      <c r="D271" s="3">
        <f>-81628.27</f>
        <v>-81628.27</v>
      </c>
      <c r="E271" s="3">
        <f>--25064.99</f>
        <v>25064.99</v>
      </c>
      <c r="F271" s="3">
        <f>--23302.32</f>
        <v>23302.32</v>
      </c>
      <c r="G271" s="3">
        <f>--10141.14</f>
        <v>10141.14</v>
      </c>
      <c r="H271" s="3">
        <f>--16697.28</f>
        <v>16697.28</v>
      </c>
      <c r="I271" s="3">
        <f>--50933.37</f>
        <v>50933.37</v>
      </c>
      <c r="J271" s="3">
        <f>--10065.17</f>
        <v>10065.17</v>
      </c>
      <c r="K271" s="3">
        <f>--12479.26</f>
        <v>12479.26</v>
      </c>
      <c r="L271" s="3">
        <f>--15480.93</f>
        <v>15480.93</v>
      </c>
      <c r="M271" s="3">
        <f>--10223.34</f>
        <v>10223.34</v>
      </c>
      <c r="N271" s="3">
        <f t="shared" si="54"/>
        <v>15000</v>
      </c>
      <c r="O271" s="3">
        <f t="shared" si="54"/>
        <v>15000</v>
      </c>
      <c r="P271" s="24"/>
      <c r="Q271" s="2">
        <f>SUM(OSRRefD34_0x)+IFERROR(SUM(OSRRefE34_0x),0)</f>
        <v>122759.53</v>
      </c>
    </row>
    <row r="272" spans="1:17" x14ac:dyDescent="0.25">
      <c r="A272" s="5"/>
      <c r="B272" s="5"/>
      <c r="C272" s="5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Q272" s="3"/>
    </row>
    <row r="273" spans="1:17" s="15" customFormat="1" ht="15.75" thickBot="1" x14ac:dyDescent="0.3">
      <c r="A273" s="6"/>
      <c r="B273" s="17" t="s">
        <v>292</v>
      </c>
      <c r="C273" s="17"/>
      <c r="D273" s="7">
        <f t="shared" ref="D273:O273" si="55">IFERROR(SUM(D267:D272), 0)</f>
        <v>-212503.28711001488</v>
      </c>
      <c r="E273" s="7">
        <f t="shared" si="55"/>
        <v>345001.77423189639</v>
      </c>
      <c r="F273" s="7">
        <f t="shared" si="55"/>
        <v>-583022.55833251809</v>
      </c>
      <c r="G273" s="7">
        <f t="shared" si="55"/>
        <v>-923743.94853920594</v>
      </c>
      <c r="H273" s="7">
        <f t="shared" si="55"/>
        <v>927443.70059701661</v>
      </c>
      <c r="I273" s="7">
        <f t="shared" si="55"/>
        <v>-214980.71266851784</v>
      </c>
      <c r="J273" s="7">
        <f t="shared" si="55"/>
        <v>-339093.40424048819</v>
      </c>
      <c r="K273" s="7">
        <f t="shared" si="55"/>
        <v>-196601.81015505933</v>
      </c>
      <c r="L273" s="7">
        <f t="shared" si="55"/>
        <v>-186184.1771645438</v>
      </c>
      <c r="M273" s="7">
        <f t="shared" si="55"/>
        <v>-165219.38113249568</v>
      </c>
      <c r="N273" s="7">
        <f t="shared" si="55"/>
        <v>-666876.62290119985</v>
      </c>
      <c r="O273" s="7">
        <f t="shared" si="55"/>
        <v>-465407.64087792445</v>
      </c>
      <c r="Q273" s="7">
        <f>IFERROR(SUM(Q267:Q272), 0)</f>
        <v>-2681179.705635475</v>
      </c>
    </row>
    <row r="274" spans="1:17" ht="15.75" thickTop="1" x14ac:dyDescent="0.25">
      <c r="A274" s="5"/>
      <c r="C274" s="5"/>
      <c r="D274" s="4">
        <f t="shared" ref="D274:O274" si="56">IFERROR(D273/D10, 0)</f>
        <v>-0.44558535455939446</v>
      </c>
      <c r="E274" s="4">
        <f t="shared" si="56"/>
        <v>0.15603934126494398</v>
      </c>
      <c r="F274" s="4">
        <f t="shared" si="56"/>
        <v>-0.65084263203092618</v>
      </c>
      <c r="G274" s="4">
        <f t="shared" si="56"/>
        <v>-1.3580863912371584</v>
      </c>
      <c r="H274" s="4">
        <f t="shared" si="56"/>
        <v>2.3449503128518363</v>
      </c>
      <c r="I274" s="4">
        <f t="shared" si="56"/>
        <v>-0.4445908748005139</v>
      </c>
      <c r="J274" s="4">
        <f t="shared" si="56"/>
        <v>-0.23188661983082762</v>
      </c>
      <c r="K274" s="4">
        <f t="shared" si="56"/>
        <v>-0.35999064574029299</v>
      </c>
      <c r="L274" s="4">
        <f t="shared" si="56"/>
        <v>-0.22879306179106762</v>
      </c>
      <c r="M274" s="4">
        <f t="shared" si="56"/>
        <v>-0.15906779217274708</v>
      </c>
      <c r="N274" s="4">
        <f t="shared" si="56"/>
        <v>-1.4083909227537339</v>
      </c>
      <c r="O274" s="4">
        <f t="shared" si="56"/>
        <v>-0.9147398269843906</v>
      </c>
      <c r="P274" s="18"/>
      <c r="Q274" s="4">
        <f>IFERROR(Q273/Q10, 0)</f>
        <v>-0.26849077403065069</v>
      </c>
    </row>
    <row r="275" spans="1:17" x14ac:dyDescent="0.25">
      <c r="A275" s="5"/>
      <c r="B275" s="27">
        <v>44330.012665011571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Q275" s="13"/>
    </row>
    <row r="276" spans="1:17" x14ac:dyDescent="0.25">
      <c r="A276" s="5"/>
      <c r="B276" s="31" t="s">
        <v>54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Q276" s="13"/>
    </row>
    <row r="277" spans="1:17" x14ac:dyDescent="0.25">
      <c r="A277" s="5"/>
      <c r="B277" s="26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Q277" s="13"/>
    </row>
    <row r="278" spans="1:17" x14ac:dyDescent="0.25"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Q27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180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180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218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25">
      <c r="A17" s="6"/>
      <c r="B17" s="16" t="s">
        <v>254</v>
      </c>
      <c r="C17" s="6"/>
      <c r="D17" s="14">
        <f t="shared" ref="D17:O17" si="4">SUM(0)</f>
        <v>0</v>
      </c>
      <c r="E17" s="14">
        <f t="shared" si="4"/>
        <v>0</v>
      </c>
      <c r="F17" s="14">
        <f t="shared" si="4"/>
        <v>0</v>
      </c>
      <c r="G17" s="14">
        <f t="shared" si="4"/>
        <v>0</v>
      </c>
      <c r="H17" s="14">
        <f t="shared" si="4"/>
        <v>0</v>
      </c>
      <c r="I17" s="14">
        <f t="shared" si="4"/>
        <v>0</v>
      </c>
      <c r="J17" s="14">
        <f t="shared" si="4"/>
        <v>0</v>
      </c>
      <c r="K17" s="14">
        <f t="shared" si="4"/>
        <v>0</v>
      </c>
      <c r="L17" s="14">
        <f t="shared" si="4"/>
        <v>0</v>
      </c>
      <c r="M17" s="14">
        <f t="shared" si="4"/>
        <v>0</v>
      </c>
      <c r="N17" s="14">
        <f t="shared" si="4"/>
        <v>0</v>
      </c>
      <c r="O17" s="14">
        <f t="shared" si="4"/>
        <v>0</v>
      </c>
      <c r="Q17" s="14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3"/>
      <c r="B19" s="16" t="s">
        <v>291</v>
      </c>
      <c r="C19" s="22"/>
      <c r="D19" s="3">
        <f t="shared" ref="D19:M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.75" thickBot="1" x14ac:dyDescent="0.3">
      <c r="A25" s="6"/>
      <c r="B25" s="17" t="s">
        <v>124</v>
      </c>
      <c r="C25" s="17"/>
      <c r="D25" s="7">
        <f>IFERROR(+D21-#REF!, 0)</f>
        <v>0</v>
      </c>
      <c r="E25" s="7">
        <f>IFERROR(+E21-#REF!, 0)</f>
        <v>0</v>
      </c>
      <c r="F25" s="7">
        <f>IFERROR(+F21-#REF!, 0)</f>
        <v>0</v>
      </c>
      <c r="G25" s="7">
        <f>IFERROR(+G21-#REF!, 0)</f>
        <v>0</v>
      </c>
      <c r="H25" s="7">
        <f>IFERROR(+H21-#REF!, 0)</f>
        <v>0</v>
      </c>
      <c r="I25" s="7">
        <f>IFERROR(+I21-#REF!, 0)</f>
        <v>0</v>
      </c>
      <c r="J25" s="7">
        <f>IFERROR(+J21-#REF!, 0)</f>
        <v>0</v>
      </c>
      <c r="K25" s="7">
        <f>IFERROR(+K21-#REF!, 0)</f>
        <v>0</v>
      </c>
      <c r="L25" s="7">
        <f>IFERROR(+L21-#REF!, 0)</f>
        <v>0</v>
      </c>
      <c r="M25" s="7">
        <f>IFERROR(+M21-#REF!, 0)</f>
        <v>0</v>
      </c>
      <c r="N25" s="7">
        <f>IFERROR(+N21-#REF!, 0)</f>
        <v>0</v>
      </c>
      <c r="O25" s="7">
        <f>IFERROR(+O21-#REF!, 0)</f>
        <v>0</v>
      </c>
      <c r="Q25" s="7">
        <f>IFERROR(+Q21-#REF!, 0)</f>
        <v>0</v>
      </c>
    </row>
    <row r="26" spans="1:17" s="6" customFormat="1" ht="15.75" thickTop="1" x14ac:dyDescent="0.25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2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181</v>
      </c>
      <c r="C28" s="6"/>
      <c r="D28" s="3">
        <f>--463883.16</f>
        <v>463883.16</v>
      </c>
      <c r="E28" s="3">
        <f>--487459.55</f>
        <v>487459.55</v>
      </c>
      <c r="F28" s="3">
        <f>-231583.65</f>
        <v>-231583.65</v>
      </c>
      <c r="G28" s="3">
        <f>-139066.28</f>
        <v>-139066.28</v>
      </c>
      <c r="H28" s="3">
        <f>--1068713.4</f>
        <v>1068713.3999999999</v>
      </c>
      <c r="I28" s="3">
        <f>--344647.12</f>
        <v>344647.12</v>
      </c>
      <c r="J28" s="3">
        <f>-35869.32</f>
        <v>-35869.32</v>
      </c>
      <c r="K28" s="3">
        <f>--233369.99</f>
        <v>233369.99</v>
      </c>
      <c r="L28" s="3">
        <f>--105259.22</f>
        <v>105259.22</v>
      </c>
      <c r="M28" s="3">
        <f>--334683.71</f>
        <v>334683.71000000002</v>
      </c>
      <c r="N28" s="3">
        <f t="shared" ref="N28:O29" si="9">--15000</f>
        <v>15000</v>
      </c>
      <c r="O28" s="3">
        <f t="shared" si="9"/>
        <v>15000</v>
      </c>
      <c r="Q28" s="2">
        <f>SUM(OSRRefD33_0x)+IFERROR(SUM(OSRRefE33_0x),0)</f>
        <v>2661496.9</v>
      </c>
    </row>
    <row r="29" spans="1:17" s="15" customFormat="1" x14ac:dyDescent="0.25">
      <c r="A29" s="25"/>
      <c r="B29" s="6" t="s">
        <v>79</v>
      </c>
      <c r="C29" s="6"/>
      <c r="D29" s="3">
        <f>-81628.27</f>
        <v>-81628.27</v>
      </c>
      <c r="E29" s="3">
        <f>--25064.99</f>
        <v>25064.99</v>
      </c>
      <c r="F29" s="3">
        <f>--23302.32</f>
        <v>23302.32</v>
      </c>
      <c r="G29" s="3">
        <f>--10141.14</f>
        <v>10141.14</v>
      </c>
      <c r="H29" s="3">
        <f>--16697.28</f>
        <v>16697.28</v>
      </c>
      <c r="I29" s="3">
        <f>--50933.37</f>
        <v>50933.37</v>
      </c>
      <c r="J29" s="3">
        <f>--10065.17</f>
        <v>10065.17</v>
      </c>
      <c r="K29" s="3">
        <f>--12479.26</f>
        <v>12479.26</v>
      </c>
      <c r="L29" s="3">
        <f>--15480.93</f>
        <v>15480.93</v>
      </c>
      <c r="M29" s="3">
        <f>--10223.34</f>
        <v>10223.34</v>
      </c>
      <c r="N29" s="3">
        <f t="shared" si="9"/>
        <v>15000</v>
      </c>
      <c r="O29" s="3">
        <f t="shared" si="9"/>
        <v>15000</v>
      </c>
      <c r="Q29" s="2">
        <f>SUM(OSRRefD34_0x)+IFERROR(SUM(OSRRefE34_0x),0)</f>
        <v>122759.53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.75" thickBot="1" x14ac:dyDescent="0.3">
      <c r="A31" s="6"/>
      <c r="B31" s="17" t="s">
        <v>292</v>
      </c>
      <c r="C31" s="17"/>
      <c r="D31" s="7">
        <f t="shared" ref="D31:O31" si="10">IFERROR(SUM(D25:D30), 0)</f>
        <v>382254.88999999996</v>
      </c>
      <c r="E31" s="7">
        <f t="shared" si="10"/>
        <v>512524.54</v>
      </c>
      <c r="F31" s="7">
        <f t="shared" si="10"/>
        <v>-208281.33</v>
      </c>
      <c r="G31" s="7">
        <f t="shared" si="10"/>
        <v>-128925.14</v>
      </c>
      <c r="H31" s="7">
        <f t="shared" si="10"/>
        <v>1085410.68</v>
      </c>
      <c r="I31" s="7">
        <f t="shared" si="10"/>
        <v>395580.49</v>
      </c>
      <c r="J31" s="7">
        <f t="shared" si="10"/>
        <v>-25804.15</v>
      </c>
      <c r="K31" s="7">
        <f t="shared" si="10"/>
        <v>245849.25</v>
      </c>
      <c r="L31" s="7">
        <f t="shared" si="10"/>
        <v>120740.15</v>
      </c>
      <c r="M31" s="7">
        <f t="shared" si="10"/>
        <v>344907.05000000005</v>
      </c>
      <c r="N31" s="7">
        <f t="shared" si="10"/>
        <v>30000</v>
      </c>
      <c r="O31" s="7">
        <f t="shared" si="10"/>
        <v>30000</v>
      </c>
      <c r="Q31" s="7">
        <f>IFERROR(SUM(Q25:Q30), 0)</f>
        <v>2784256.4299999997</v>
      </c>
    </row>
    <row r="32" spans="1:17" ht="15.75" thickTop="1" x14ac:dyDescent="0.25">
      <c r="A32" s="5"/>
      <c r="C32" s="5"/>
      <c r="D32" s="4">
        <f t="shared" ref="D32:O32" si="11">IFERROR(D31/D10, 0)</f>
        <v>0</v>
      </c>
      <c r="E32" s="4">
        <f t="shared" si="11"/>
        <v>0</v>
      </c>
      <c r="F32" s="4">
        <f t="shared" si="11"/>
        <v>0</v>
      </c>
      <c r="G32" s="4">
        <f t="shared" si="11"/>
        <v>0</v>
      </c>
      <c r="H32" s="4">
        <f t="shared" si="11"/>
        <v>0</v>
      </c>
      <c r="I32" s="4">
        <f t="shared" si="11"/>
        <v>0</v>
      </c>
      <c r="J32" s="4">
        <f t="shared" si="11"/>
        <v>0</v>
      </c>
      <c r="K32" s="4">
        <f t="shared" si="11"/>
        <v>0</v>
      </c>
      <c r="L32" s="4">
        <f t="shared" si="11"/>
        <v>0</v>
      </c>
      <c r="M32" s="4">
        <f t="shared" si="11"/>
        <v>0</v>
      </c>
      <c r="N32" s="4">
        <f t="shared" si="11"/>
        <v>0</v>
      </c>
      <c r="O32" s="4">
        <f t="shared" si="11"/>
        <v>0</v>
      </c>
      <c r="P32" s="18"/>
      <c r="Q32" s="4">
        <f>IFERROR(Q31/Q10, 0)</f>
        <v>0</v>
      </c>
    </row>
    <row r="33" spans="1:17" x14ac:dyDescent="0.25">
      <c r="A33" s="5"/>
      <c r="B33" s="27">
        <v>44330.012718668979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31" t="s">
        <v>54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26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 t="shared" ref="D17:O17" si="4">SUM(0)</f>
        <v>0</v>
      </c>
      <c r="E17" s="14">
        <f t="shared" si="4"/>
        <v>0</v>
      </c>
      <c r="F17" s="14">
        <f t="shared" si="4"/>
        <v>0</v>
      </c>
      <c r="G17" s="14">
        <f t="shared" si="4"/>
        <v>0</v>
      </c>
      <c r="H17" s="14">
        <f t="shared" si="4"/>
        <v>0</v>
      </c>
      <c r="I17" s="14">
        <f t="shared" si="4"/>
        <v>0</v>
      </c>
      <c r="J17" s="14">
        <f t="shared" si="4"/>
        <v>0</v>
      </c>
      <c r="K17" s="14">
        <f t="shared" si="4"/>
        <v>0</v>
      </c>
      <c r="L17" s="14">
        <f t="shared" si="4"/>
        <v>0</v>
      </c>
      <c r="M17" s="14">
        <f t="shared" si="4"/>
        <v>0</v>
      </c>
      <c r="N17" s="14">
        <f t="shared" si="4"/>
        <v>0</v>
      </c>
      <c r="O17" s="14">
        <f t="shared" si="4"/>
        <v>0</v>
      </c>
      <c r="Q17" s="14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3"/>
      <c r="B19" s="16" t="s">
        <v>291</v>
      </c>
      <c r="C19" s="22"/>
      <c r="D19" s="3">
        <f t="shared" ref="D19:M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/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25"/>
      <c r="B29" s="6" t="s">
        <v>181</v>
      </c>
      <c r="C29" s="6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>--105259.22</f>
        <v>105259.22</v>
      </c>
      <c r="M29" s="3">
        <f>--334683.71</f>
        <v>334683.71000000002</v>
      </c>
      <c r="N29" s="3">
        <f t="shared" ref="N29:O30" si="10">--15000</f>
        <v>15000</v>
      </c>
      <c r="O29" s="3">
        <f t="shared" si="10"/>
        <v>15000</v>
      </c>
      <c r="Q29" s="2">
        <f>SUM(OSRRefD33_0x)+IFERROR(SUM(OSRRefE33_0x),0)</f>
        <v>2661496.9</v>
      </c>
    </row>
    <row r="30" spans="1:17" s="15" customFormat="1" x14ac:dyDescent="0.25">
      <c r="A30" s="25"/>
      <c r="B30" s="6" t="s">
        <v>79</v>
      </c>
      <c r="C30" s="6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>--15480.93</f>
        <v>15480.93</v>
      </c>
      <c r="M30" s="3">
        <f>--10223.34</f>
        <v>10223.34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122759.53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292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1085410.68</v>
      </c>
      <c r="I32" s="7">
        <f t="shared" si="11"/>
        <v>395580.49</v>
      </c>
      <c r="J32" s="7">
        <f t="shared" si="11"/>
        <v>-25804.15</v>
      </c>
      <c r="K32" s="7">
        <f t="shared" si="11"/>
        <v>245849.25</v>
      </c>
      <c r="L32" s="7">
        <f t="shared" si="11"/>
        <v>120740.15</v>
      </c>
      <c r="M32" s="7">
        <f t="shared" si="11"/>
        <v>344907.05000000005</v>
      </c>
      <c r="N32" s="7">
        <f t="shared" si="11"/>
        <v>30000</v>
      </c>
      <c r="O32" s="7">
        <f t="shared" si="11"/>
        <v>30000</v>
      </c>
      <c r="Q32" s="7">
        <f>IFERROR(SUM(Q26:Q31), 0)</f>
        <v>2784256.4299999997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27">
        <v>44330.012769791669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31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136</v>
      </c>
    </row>
    <row r="4" spans="1:8" x14ac:dyDescent="0.25">
      <c r="B4" s="33" t="s">
        <v>199</v>
      </c>
    </row>
    <row r="5" spans="1:8" ht="15" customHeight="1" x14ac:dyDescent="0.25">
      <c r="A5" s="15"/>
      <c r="B5" s="15" t="s">
        <v>310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137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234703.24000000008</v>
      </c>
      <c r="E17" s="14">
        <f>SUM(OSRRefD20x_1)</f>
        <v>219113.02</v>
      </c>
      <c r="F17" s="14">
        <f>SUM(OSRRefD20x_2)</f>
        <v>210081.4800000001</v>
      </c>
      <c r="G17" s="14">
        <f>SUM(OSRRefD20x_3)</f>
        <v>259749.95</v>
      </c>
      <c r="H17" s="14">
        <f>SUM(OSRRefD20x_4)</f>
        <v>-183271.43000000002</v>
      </c>
      <c r="I17" s="14">
        <f>SUM(OSRRefD20x_5)</f>
        <v>211174.94999999998</v>
      </c>
      <c r="J17" s="14">
        <f>SUM(OSRRefD20x_6)</f>
        <v>247477.44999999995</v>
      </c>
      <c r="K17" s="14">
        <f>SUM(OSRRefD20x_7)</f>
        <v>217201.57</v>
      </c>
      <c r="L17" s="14">
        <f>SUM(OSRRefD20x_8)</f>
        <v>225320.12000000002</v>
      </c>
      <c r="M17" s="14">
        <f>SUM(OSRRefD20x_9)</f>
        <v>242086.48</v>
      </c>
      <c r="N17" s="14">
        <f>SUM(OSRRefE20x_0)</f>
        <v>241073.10499076926</v>
      </c>
      <c r="O17" s="14">
        <f>SUM(OSRRefE20x_1)</f>
        <v>245653.87663076926</v>
      </c>
      <c r="Q17" s="14">
        <f>SUM(OSRRefG20x)</f>
        <v>2370363.8116215388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SUM(OSRRefD21_0x_7)</f>
        <v>76673.930000000008</v>
      </c>
      <c r="L18" s="1">
        <f>SUM(OSRRefD21_0x_8)</f>
        <v>77919.67</v>
      </c>
      <c r="M18" s="1">
        <f>SUM(OSRRefD21_0x_9)</f>
        <v>86861.33</v>
      </c>
      <c r="N18" s="1">
        <f>SUM(OSRRefE21_0x_0)</f>
        <v>80568.228067692282</v>
      </c>
      <c r="O18" s="1">
        <f>SUM(OSRRefE21_0x_1)</f>
        <v>80567.399707692268</v>
      </c>
      <c r="Q18" s="2">
        <f>SUM(OSRRefD20_0x)+IFERROR(SUM(OSRRefE20_0x),0)</f>
        <v>587907.93777538452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7078.51</v>
      </c>
      <c r="L19" s="2">
        <v>6995.86</v>
      </c>
      <c r="M19" s="2">
        <v>10464.51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94923.937661538468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585.79999999999995</v>
      </c>
      <c r="L20" s="2">
        <v>584.14</v>
      </c>
      <c r="M20" s="2">
        <v>580.21</v>
      </c>
      <c r="N20" s="2">
        <v>638.55538153846101</v>
      </c>
      <c r="O20" s="2">
        <v>638.09206153846105</v>
      </c>
      <c r="P20" s="9"/>
      <c r="Q20" s="2">
        <f>SUM(OSRRefD21_0_1x)+IFERROR(SUM(OSRRefE21_0_1x),0)</f>
        <v>7743.7774430769223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22431.15</v>
      </c>
      <c r="L21" s="2">
        <v>22431.15</v>
      </c>
      <c r="M21" s="2">
        <v>22431.15</v>
      </c>
      <c r="N21" s="2">
        <v>21183.0769230769</v>
      </c>
      <c r="O21" s="2">
        <v>21183.0769230769</v>
      </c>
      <c r="P21" s="9"/>
      <c r="Q21" s="2">
        <f>SUM(OSRRefD21_0_2x)+IFERROR(SUM(OSRRefE21_0_2x),0)</f>
        <v>270058.53384615376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242.45</v>
      </c>
      <c r="L22" s="2">
        <v>240.46</v>
      </c>
      <c r="M22" s="2">
        <v>238.05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3348.9134399999998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7812.41</v>
      </c>
      <c r="L23" s="2">
        <v>7812.41</v>
      </c>
      <c r="M23" s="2">
        <v>7812.41</v>
      </c>
      <c r="N23" s="2">
        <v>7006.3538461538401</v>
      </c>
      <c r="O23" s="2">
        <v>7006.3538461538401</v>
      </c>
      <c r="P23" s="9"/>
      <c r="Q23" s="2">
        <f>SUM(OSRRefD21_0_4x)+IFERROR(SUM(OSRRefE21_0_4x),0)</f>
        <v>104200.67769230768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1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/>
      <c r="O25" s="2"/>
      <c r="P25" s="9"/>
      <c r="Q25" s="2">
        <f>SUM(OSRRefD21_0_6x)+IFERROR(SUM(OSRRefE21_0_6x),0)</f>
        <v>7043.7799999999988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1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5447.23</v>
      </c>
      <c r="L26" s="2">
        <v>6386.63</v>
      </c>
      <c r="M26" s="2">
        <v>10001.43</v>
      </c>
      <c r="N26" s="2">
        <v>5229.4615384615399</v>
      </c>
      <c r="O26" s="2">
        <v>5229.4615384615399</v>
      </c>
      <c r="P26" s="9"/>
      <c r="Q26" s="2">
        <f>SUM(OSRRefD21_0_7x)+IFERROR(SUM(OSRRefE21_0_7x),0)</f>
        <v>77422.88307692307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1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4003.52</v>
      </c>
      <c r="L27" s="2">
        <v>4114.22</v>
      </c>
      <c r="M27" s="2">
        <v>6005.28</v>
      </c>
      <c r="N27" s="2">
        <v>4101.4523076923097</v>
      </c>
      <c r="O27" s="2">
        <v>4101.4523076923097</v>
      </c>
      <c r="P27" s="9"/>
      <c r="Q27" s="2">
        <f>SUM(OSRRefD21_0_8x)+IFERROR(SUM(OSRRefE21_0_8x),0)</f>
        <v>53127.224615384621</v>
      </c>
    </row>
    <row r="28" spans="1:17" s="34" customFormat="1" hidden="1" outlineLevel="1" x14ac:dyDescent="0.25">
      <c r="A28" s="35"/>
      <c r="B28" s="10" t="str">
        <f>CONCATENATE("          ","6120", " - ","RETIREES HEALTH INSURANCE")</f>
        <v xml:space="preserve">          6120 - RETIREES HEALTH INSURANCE</v>
      </c>
      <c r="C28" s="11"/>
      <c r="D28" s="2">
        <v>30249.09</v>
      </c>
      <c r="E28" s="2">
        <v>30426.25</v>
      </c>
      <c r="F28" s="2">
        <v>31087.67</v>
      </c>
      <c r="G28" s="2">
        <v>30642.67</v>
      </c>
      <c r="H28" s="2">
        <v>-369662.33</v>
      </c>
      <c r="I28" s="2">
        <v>29918.37</v>
      </c>
      <c r="J28" s="2">
        <v>28145.68</v>
      </c>
      <c r="K28" s="2">
        <v>28124.68</v>
      </c>
      <c r="L28" s="2">
        <v>28050.7</v>
      </c>
      <c r="M28" s="2">
        <v>28198.66</v>
      </c>
      <c r="N28" s="2">
        <v>32000</v>
      </c>
      <c r="O28" s="2">
        <v>32000</v>
      </c>
      <c r="P28" s="9"/>
      <c r="Q28" s="2">
        <f>SUM(OSRRefD21_0_9x)+IFERROR(SUM(OSRRefE21_0_9x),0)</f>
        <v>-40818.560000000027</v>
      </c>
    </row>
    <row r="29" spans="1:17" s="34" customFormat="1" hidden="1" outlineLevel="1" x14ac:dyDescent="0.25">
      <c r="A29" s="35"/>
      <c r="B29" s="10" t="str">
        <f>CONCATENATE("          ","6156", " - ","EMPLOYEE MEALS")</f>
        <v xml:space="preserve">          6156 - EMPLOYEE MEALS</v>
      </c>
      <c r="C29" s="11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415.44</v>
      </c>
      <c r="L29" s="2">
        <v>528.97</v>
      </c>
      <c r="M29" s="2">
        <v>637.84</v>
      </c>
      <c r="N29" s="2">
        <v>2350</v>
      </c>
      <c r="O29" s="2">
        <v>2350</v>
      </c>
      <c r="P29" s="9"/>
      <c r="Q29" s="2">
        <f>SUM(OSRRefD21_0_10x)+IFERROR(SUM(OSRRefE21_0_10x),0)</f>
        <v>10856.77</v>
      </c>
    </row>
    <row r="30" spans="1:17" s="34" customFormat="1" collapsed="1" x14ac:dyDescent="0.25">
      <c r="A30" s="35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114306.91</v>
      </c>
      <c r="E30" s="1">
        <f>SUM(OSRRefD21_1x_1)</f>
        <v>89313.989999999991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SUM(OSRRefD21_1x_7)</f>
        <v>87699.200000000012</v>
      </c>
      <c r="L30" s="1">
        <f>SUM(OSRRefD21_1x_8)</f>
        <v>91072.549999999988</v>
      </c>
      <c r="M30" s="1">
        <f>SUM(OSRRefD21_1x_9)</f>
        <v>97785.8</v>
      </c>
      <c r="N30" s="1">
        <f>SUM(OSRRefE21_1x_0)</f>
        <v>100625.87692307698</v>
      </c>
      <c r="O30" s="1">
        <f>SUM(OSRRefE21_1x_1)</f>
        <v>100485.47692307699</v>
      </c>
      <c r="Q30" s="2">
        <f>SUM(OSRRefD20_1x)+IFERROR(SUM(OSRRefE20_1x),0)</f>
        <v>1135140.5738461539</v>
      </c>
    </row>
    <row r="31" spans="1:17" s="34" customFormat="1" hidden="1" outlineLevel="1" x14ac:dyDescent="0.25">
      <c r="A31" s="35"/>
      <c r="B31" s="10" t="str">
        <f>CONCATENATE("          ","6001", " - ","ADMINISTRATIVE SALARIES")</f>
        <v xml:space="preserve">          6001 - ADMINISTRATIVE SALARIES</v>
      </c>
      <c r="C31" s="11"/>
      <c r="D31" s="2">
        <v>28750.29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23195.49</v>
      </c>
      <c r="L31" s="2">
        <v>23690.23</v>
      </c>
      <c r="M31" s="2">
        <v>25516.62</v>
      </c>
      <c r="N31" s="2">
        <v>40026.9230769231</v>
      </c>
      <c r="O31" s="2">
        <v>40026.9230769231</v>
      </c>
      <c r="P31" s="9"/>
      <c r="Q31" s="2">
        <f>SUM(OSRRefD21_1_0x)+IFERROR(SUM(OSRRefE21_1_0x),0)</f>
        <v>330511.69615384616</v>
      </c>
    </row>
    <row r="32" spans="1:17" s="34" customFormat="1" hidden="1" outlineLevel="1" x14ac:dyDescent="0.25">
      <c r="A32" s="35"/>
      <c r="B32" s="10" t="str">
        <f>CONCATENATE("          ","6002", " - ","STAFF SALARIES")</f>
        <v xml:space="preserve">          6002 - STAFF SALARIES</v>
      </c>
      <c r="C32" s="11"/>
      <c r="D32" s="2">
        <v>53290.35</v>
      </c>
      <c r="E32" s="2">
        <v>44494.06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45685.91</v>
      </c>
      <c r="L32" s="2">
        <v>46843.35</v>
      </c>
      <c r="M32" s="2">
        <v>51331.73</v>
      </c>
      <c r="N32" s="2">
        <v>34146.153846153902</v>
      </c>
      <c r="O32" s="2">
        <v>34146.153846153902</v>
      </c>
      <c r="P32" s="9"/>
      <c r="Q32" s="2">
        <f>SUM(OSRRefD21_1_1x)+IFERROR(SUM(OSRRefE21_1_1x),0)</f>
        <v>556700.24769230769</v>
      </c>
    </row>
    <row r="33" spans="1:17" s="34" customFormat="1" hidden="1" outlineLevel="1" x14ac:dyDescent="0.25">
      <c r="A33" s="35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0" t="str">
        <f>CONCATENATE("          ","6004", " - ","STAFF HOURLY")</f>
        <v xml:space="preserve">          6004 - STAFF HOURLY</v>
      </c>
      <c r="C34" s="11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15921.98</v>
      </c>
      <c r="K34" s="2">
        <v>15530.74</v>
      </c>
      <c r="L34" s="2">
        <v>14154.51</v>
      </c>
      <c r="M34" s="2">
        <v>18975.900000000001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207953.51</v>
      </c>
    </row>
    <row r="35" spans="1:17" s="34" customFormat="1" hidden="1" outlineLevel="1" x14ac:dyDescent="0.25">
      <c r="A35" s="35"/>
      <c r="B35" s="10" t="str">
        <f>CONCATENATE("          ","6005", " - ","TEMPORARY WAGES-HOURLY")</f>
        <v xml:space="preserve">          6005 - TEMPORARY WAGES-HOURLY</v>
      </c>
      <c r="C35" s="11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3541.75</v>
      </c>
      <c r="K35" s="2">
        <v>4163.13</v>
      </c>
      <c r="L35" s="2">
        <v>3704.26</v>
      </c>
      <c r="M35" s="2">
        <v>5393.21</v>
      </c>
      <c r="N35" s="2">
        <v>7772</v>
      </c>
      <c r="O35" s="2">
        <v>7772</v>
      </c>
      <c r="P35" s="9"/>
      <c r="Q35" s="2">
        <f>SUM(OSRRefD21_1_4x)+IFERROR(SUM(OSRRefE21_1_4x),0)</f>
        <v>68877.88</v>
      </c>
    </row>
    <row r="36" spans="1:17" s="34" customFormat="1" hidden="1" outlineLevel="1" x14ac:dyDescent="0.25">
      <c r="A36" s="35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0" t="str">
        <f>CONCATENATE("          ","6007", " - ","STUDENT HOURLY")</f>
        <v xml:space="preserve">          6007 - STUDENT HOURLY</v>
      </c>
      <c r="C37" s="11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5502</v>
      </c>
      <c r="K37" s="2">
        <v>-2032</v>
      </c>
      <c r="L37" s="2">
        <v>1517</v>
      </c>
      <c r="M37" s="2">
        <v>-4987</v>
      </c>
      <c r="N37" s="2">
        <v>1164</v>
      </c>
      <c r="O37" s="2">
        <v>1164</v>
      </c>
      <c r="P37" s="9"/>
      <c r="Q37" s="2">
        <f>SUM(OSRRefD21_1_6x)+IFERROR(SUM(OSRRefE21_1_6x),0)</f>
        <v>-42513.01</v>
      </c>
    </row>
    <row r="38" spans="1:17" s="34" customFormat="1" hidden="1" outlineLevel="1" x14ac:dyDescent="0.25">
      <c r="A38" s="35"/>
      <c r="B38" s="10" t="str">
        <f>CONCATENATE("          ","6008", " - ","STUDENT HOURLY-FICA EXEMPT")</f>
        <v xml:space="preserve">          6008 - STUDENT HOURLY-FICA EXEMPT</v>
      </c>
      <c r="C38" s="11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1366.76</v>
      </c>
      <c r="K38" s="2">
        <v>1155.93</v>
      </c>
      <c r="L38" s="2">
        <v>1163.2</v>
      </c>
      <c r="M38" s="2">
        <v>1555.34</v>
      </c>
      <c r="N38" s="2">
        <v>140.4</v>
      </c>
      <c r="O38" s="2">
        <v>0</v>
      </c>
      <c r="P38" s="9"/>
      <c r="Q38" s="2">
        <f>SUM(OSRRefD21_1_7x)+IFERROR(SUM(OSRRefE21_1_7x),0)</f>
        <v>13610.25</v>
      </c>
    </row>
    <row r="39" spans="1:17" s="34" customFormat="1" hidden="1" outlineLevel="1" x14ac:dyDescent="0.25">
      <c r="A39" s="35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SUM(OSRRefD21_2x_6)</f>
        <v>173.21</v>
      </c>
      <c r="K41" s="1">
        <f>SUM(OSRRefD21_2x_7)</f>
        <v>346.42</v>
      </c>
      <c r="L41" s="1">
        <f>SUM(OSRRefD21_2x_8)</f>
        <v>173.21</v>
      </c>
      <c r="M41" s="1">
        <f>SUM(OSRRefD21_2x_9)</f>
        <v>106.3</v>
      </c>
      <c r="N41" s="1">
        <f>SUM(OSRRefE21_2x_0)</f>
        <v>9083</v>
      </c>
      <c r="O41" s="1">
        <f>SUM(OSRRefE21_2x_1)</f>
        <v>9087</v>
      </c>
      <c r="Q41" s="2">
        <f>SUM(OSRRefD20_2x)+IFERROR(SUM(OSRRefE20_2x),0)</f>
        <v>19901.990000000002</v>
      </c>
    </row>
    <row r="42" spans="1:17" s="34" customFormat="1" hidden="1" outlineLevel="1" x14ac:dyDescent="0.25">
      <c r="A42" s="35"/>
      <c r="B42" s="10" t="str">
        <f>CONCATENATE("          ","6362", " - ","ADVERTISING EXPENSE")</f>
        <v xml:space="preserve">          6362 - ADVERTISING EXPENSE</v>
      </c>
      <c r="C42" s="11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173.21</v>
      </c>
      <c r="K42" s="2">
        <v>346.42</v>
      </c>
      <c r="L42" s="2">
        <v>173.21</v>
      </c>
      <c r="M42" s="2">
        <v>106.3</v>
      </c>
      <c r="N42" s="2">
        <v>9083</v>
      </c>
      <c r="O42" s="2">
        <v>9087</v>
      </c>
      <c r="P42" s="9"/>
      <c r="Q42" s="2">
        <f>SUM(OSRRefD21_2_0x)+IFERROR(SUM(OSRRefE21_2_0x),0)</f>
        <v>19901.990000000002</v>
      </c>
    </row>
    <row r="43" spans="1:17" s="34" customFormat="1" collapsed="1" x14ac:dyDescent="0.25">
      <c r="A43" s="35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SUM(OSRRefD21_3x_6)</f>
        <v>2078.09</v>
      </c>
      <c r="K43" s="1">
        <f>SUM(OSRRefD21_3x_7)</f>
        <v>135.87</v>
      </c>
      <c r="L43" s="1">
        <f>SUM(OSRRefD21_3x_8)</f>
        <v>7</v>
      </c>
      <c r="M43" s="1">
        <f>SUM(OSRRefD21_3x_9)</f>
        <v>1863.53</v>
      </c>
      <c r="N43" s="1">
        <f>SUM(OSRRefE21_3x_0)</f>
        <v>1000</v>
      </c>
      <c r="O43" s="1">
        <f>SUM(OSRRefE21_3x_1)</f>
        <v>2000</v>
      </c>
      <c r="Q43" s="2">
        <f>SUM(OSRRefD20_3x)+IFERROR(SUM(OSRRefE20_3x),0)</f>
        <v>9989.07</v>
      </c>
    </row>
    <row r="44" spans="1:17" s="34" customFormat="1" hidden="1" outlineLevel="1" x14ac:dyDescent="0.25">
      <c r="A44" s="35"/>
      <c r="B44" s="10" t="str">
        <f>CONCATENATE("          ","6381", " - ","BANK/CREDIT CARD FEES")</f>
        <v xml:space="preserve">          6381 - BANK/CREDIT CARD FEES</v>
      </c>
      <c r="C44" s="11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2078.09</v>
      </c>
      <c r="K44" s="2">
        <v>135.87</v>
      </c>
      <c r="L44" s="2">
        <v>7</v>
      </c>
      <c r="M44" s="2">
        <v>1863.53</v>
      </c>
      <c r="N44" s="2">
        <v>1000</v>
      </c>
      <c r="O44" s="2">
        <v>2000</v>
      </c>
      <c r="P44" s="9"/>
      <c r="Q44" s="2">
        <f>SUM(OSRRefD21_3_0x)+IFERROR(SUM(OSRRefE21_3_0x),0)</f>
        <v>9989.07</v>
      </c>
    </row>
    <row r="45" spans="1:17" s="34" customFormat="1" collapsed="1" x14ac:dyDescent="0.25">
      <c r="A45" s="35"/>
      <c r="B45" s="11" t="str">
        <f>CONCATENATE("     ","Board                                             ")</f>
        <v xml:space="preserve">     Board                                             </v>
      </c>
      <c r="C45" s="11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SUM(OSRRefD21_4x_6)</f>
        <v>1763</v>
      </c>
      <c r="K45" s="1">
        <f>SUM(OSRRefD21_4x_7)</f>
        <v>546.76</v>
      </c>
      <c r="L45" s="1">
        <f>SUM(OSRRefD21_4x_8)</f>
        <v>685.41</v>
      </c>
      <c r="M45" s="1">
        <f>SUM(OSRRefD21_4x_9)</f>
        <v>2323.75</v>
      </c>
      <c r="N45" s="1">
        <f>SUM(OSRRefE21_4x_0)</f>
        <v>1137</v>
      </c>
      <c r="O45" s="1">
        <f>SUM(OSRRefE21_4x_1)</f>
        <v>1137</v>
      </c>
      <c r="Q45" s="2">
        <f>SUM(OSRRefD20_4x)+IFERROR(SUM(OSRRefE20_4x),0)</f>
        <v>15429.91</v>
      </c>
    </row>
    <row r="46" spans="1:17" s="34" customFormat="1" hidden="1" outlineLevel="1" x14ac:dyDescent="0.25">
      <c r="A46" s="35"/>
      <c r="B46" s="10" t="str">
        <f>CONCATENATE("          ","6397", " - ","BOARD EXPENSES")</f>
        <v xml:space="preserve">          6397 - BOARD EXPENSES</v>
      </c>
      <c r="C46" s="11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1763</v>
      </c>
      <c r="K46" s="2">
        <v>546.76</v>
      </c>
      <c r="L46" s="2">
        <v>685.41</v>
      </c>
      <c r="M46" s="2">
        <v>2323.75</v>
      </c>
      <c r="N46" s="2">
        <v>1137</v>
      </c>
      <c r="O46" s="2">
        <v>1137</v>
      </c>
      <c r="P46" s="9"/>
      <c r="Q46" s="2">
        <f>SUM(OSRRefD21_4_0x)+IFERROR(SUM(OSRRefE21_4_0x),0)</f>
        <v>15429.91</v>
      </c>
    </row>
    <row r="47" spans="1:17" s="34" customFormat="1" collapsed="1" x14ac:dyDescent="0.25">
      <c r="A47" s="35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SUM(OSRRefD21_5x_6)</f>
        <v>7139.05</v>
      </c>
      <c r="K47" s="1">
        <f>SUM(OSRRefD21_5x_7)</f>
        <v>6867.83</v>
      </c>
      <c r="L47" s="1">
        <f>SUM(OSRRefD21_5x_8)</f>
        <v>6867.78</v>
      </c>
      <c r="M47" s="1">
        <f>SUM(OSRRefD21_5x_9)</f>
        <v>6867.76</v>
      </c>
      <c r="N47" s="1">
        <f>SUM(OSRRefE21_5x_0)</f>
        <v>6765</v>
      </c>
      <c r="O47" s="1">
        <f>SUM(OSRRefE21_5x_1)</f>
        <v>6428</v>
      </c>
      <c r="Q47" s="2">
        <f>SUM(OSRRefD20_5x)+IFERROR(SUM(OSRRefE20_5x),0)</f>
        <v>85340.24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7139.05</v>
      </c>
      <c r="K48" s="2">
        <v>6867.83</v>
      </c>
      <c r="L48" s="2">
        <v>6867.78</v>
      </c>
      <c r="M48" s="2">
        <v>6867.76</v>
      </c>
      <c r="N48" s="2">
        <v>6765</v>
      </c>
      <c r="O48" s="2">
        <v>6428</v>
      </c>
      <c r="P48" s="9"/>
      <c r="Q48" s="2">
        <f>SUM(OSRRefD21_5_0x)+IFERROR(SUM(OSRRefE21_5_0x),0)</f>
        <v>85340.24</v>
      </c>
    </row>
    <row r="49" spans="1:17" s="34" customFormat="1" collapsed="1" x14ac:dyDescent="0.25">
      <c r="A49" s="35"/>
      <c r="B49" s="11" t="str">
        <f>CONCATENATE("     ","Donations                                         ")</f>
        <v xml:space="preserve">     Donations       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SUM(OSRRefD21_6x_9)</f>
        <v>1500</v>
      </c>
      <c r="N49" s="1">
        <f>SUM(OSRRefE21_6x_0)</f>
        <v>1000</v>
      </c>
      <c r="O49" s="1">
        <f>SUM(OSRRefE21_6x_1)</f>
        <v>1000</v>
      </c>
      <c r="Q49" s="2">
        <f>SUM(OSRRefD20_6x)+IFERROR(SUM(OSRRefE20_6x),0)</f>
        <v>28500</v>
      </c>
    </row>
    <row r="50" spans="1:17" s="34" customFormat="1" hidden="1" outlineLevel="1" x14ac:dyDescent="0.25">
      <c r="A50" s="35"/>
      <c r="B50" s="10" t="str">
        <f>CONCATENATE("          ","6399", " - ","DONATION-ON CAMPUS")</f>
        <v xml:space="preserve">          6399 - DONATION-ON CAMPUS</v>
      </c>
      <c r="C50" s="11"/>
      <c r="D50" s="2"/>
      <c r="E50" s="2"/>
      <c r="F50" s="2"/>
      <c r="G50" s="2">
        <v>25000</v>
      </c>
      <c r="H50" s="2"/>
      <c r="I50" s="2"/>
      <c r="J50" s="2"/>
      <c r="K50" s="2"/>
      <c r="L50" s="2"/>
      <c r="M50" s="2">
        <v>1500</v>
      </c>
      <c r="N50" s="2">
        <v>1000</v>
      </c>
      <c r="O50" s="2">
        <v>1000</v>
      </c>
      <c r="P50" s="9"/>
      <c r="Q50" s="2">
        <f>SUM(OSRRefD21_6_0x)+IFERROR(SUM(OSRRefE21_6_0x),0)</f>
        <v>28500</v>
      </c>
    </row>
    <row r="51" spans="1:17" s="34" customFormat="1" collapsed="1" x14ac:dyDescent="0.25">
      <c r="A51" s="35"/>
      <c r="B51" s="11" t="str">
        <f>CONCATENATE("     ","Employees' Appreciation                           ")</f>
        <v xml:space="preserve">     Employees' Appreciation                           </v>
      </c>
      <c r="C51" s="11"/>
      <c r="D51" s="1">
        <f>SUM(OSRRefD21_7x_0)</f>
        <v>0</v>
      </c>
      <c r="E51" s="1">
        <f>SUM(OSRRefD21_7x_1)</f>
        <v>81.56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SUM(OSRRefE21_7x_0)</f>
        <v>0</v>
      </c>
      <c r="O51" s="1">
        <f>SUM(OSRRefE21_7x_1)</f>
        <v>1000</v>
      </c>
      <c r="Q51" s="2">
        <f>SUM(OSRRefD20_7x)+IFERROR(SUM(OSRRefE20_7x),0)</f>
        <v>1081.56</v>
      </c>
    </row>
    <row r="52" spans="1:17" s="34" customFormat="1" hidden="1" outlineLevel="1" x14ac:dyDescent="0.25">
      <c r="A52" s="35"/>
      <c r="B52" s="10" t="str">
        <f>CONCATENATE("          ","6277", " - ","EMPLOYEE APPRECIATION")</f>
        <v xml:space="preserve">          6277 - EMPLOYEE APPRECIATION</v>
      </c>
      <c r="C52" s="11"/>
      <c r="D52" s="2"/>
      <c r="E52" s="2">
        <v>81.56</v>
      </c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1000</v>
      </c>
      <c r="P52" s="9"/>
      <c r="Q52" s="2">
        <f>SUM(OSRRefD21_7_0x)+IFERROR(SUM(OSRRefE21_7_0x),0)</f>
        <v>1081.56</v>
      </c>
    </row>
    <row r="53" spans="1:17" s="34" customFormat="1" collapsed="1" x14ac:dyDescent="0.25">
      <c r="A53" s="35"/>
      <c r="B53" s="11" t="str">
        <f>CONCATENATE("     ","Equipment Rental                                  ")</f>
        <v xml:space="preserve">     Equipment Rental                                  </v>
      </c>
      <c r="C53" s="11"/>
      <c r="D53" s="1">
        <f>SUM(OSRRefD21_8x_0)</f>
        <v>208.97</v>
      </c>
      <c r="E53" s="1">
        <f>SUM(OSRRefD21_8x_1)</f>
        <v>208.97</v>
      </c>
      <c r="F53" s="1">
        <f>SUM(OSRRefD21_8x_2)</f>
        <v>208.97</v>
      </c>
      <c r="G53" s="1">
        <f>SUM(OSRRefD21_8x_3)</f>
        <v>208.97</v>
      </c>
      <c r="H53" s="1">
        <f>SUM(OSRRefD21_8x_4)</f>
        <v>208.97</v>
      </c>
      <c r="I53" s="1">
        <f>SUM(OSRRefD21_8x_5)</f>
        <v>208.97</v>
      </c>
      <c r="J53" s="1">
        <f>SUM(OSRRefD21_8x_6)</f>
        <v>208.97</v>
      </c>
      <c r="K53" s="1">
        <f>SUM(OSRRefD21_8x_7)</f>
        <v>208.97</v>
      </c>
      <c r="L53" s="1">
        <f>SUM(OSRRefD21_8x_8)</f>
        <v>300.23</v>
      </c>
      <c r="M53" s="1">
        <f>SUM(OSRRefD21_8x_9)</f>
        <v>208.97</v>
      </c>
      <c r="N53" s="1">
        <f>SUM(OSRRefE21_8x_0)</f>
        <v>291</v>
      </c>
      <c r="O53" s="1">
        <f>SUM(OSRRefE21_8x_1)</f>
        <v>297</v>
      </c>
      <c r="Q53" s="2">
        <f>SUM(OSRRefD20_8x)+IFERROR(SUM(OSRRefE20_8x),0)</f>
        <v>2768.96</v>
      </c>
    </row>
    <row r="54" spans="1:17" s="34" customFormat="1" hidden="1" outlineLevel="1" x14ac:dyDescent="0.25">
      <c r="A54" s="35"/>
      <c r="B54" s="10" t="str">
        <f>CONCATENATE("          ","6351", " - ","EQUIPMENT RENTAL")</f>
        <v xml:space="preserve">          6351 - EQUIPMENT RENTAL</v>
      </c>
      <c r="C54" s="11"/>
      <c r="D54" s="2">
        <v>208.97</v>
      </c>
      <c r="E54" s="2">
        <v>208.97</v>
      </c>
      <c r="F54" s="2">
        <v>208.97</v>
      </c>
      <c r="G54" s="2">
        <v>208.97</v>
      </c>
      <c r="H54" s="2">
        <v>208.97</v>
      </c>
      <c r="I54" s="2">
        <v>208.97</v>
      </c>
      <c r="J54" s="2">
        <v>208.97</v>
      </c>
      <c r="K54" s="2">
        <v>208.97</v>
      </c>
      <c r="L54" s="2">
        <v>300.23</v>
      </c>
      <c r="M54" s="2">
        <v>208.97</v>
      </c>
      <c r="N54" s="2">
        <v>291</v>
      </c>
      <c r="O54" s="2">
        <v>297</v>
      </c>
      <c r="P54" s="9"/>
      <c r="Q54" s="2">
        <f>SUM(OSRRefD21_8_0x)+IFERROR(SUM(OSRRefE21_8_0x),0)</f>
        <v>2768.96</v>
      </c>
    </row>
    <row r="55" spans="1:17" s="34" customFormat="1" collapsed="1" x14ac:dyDescent="0.25">
      <c r="A55" s="35"/>
      <c r="B55" s="11" t="str">
        <f>CONCATENATE("     ","Freight out/Postage                               ")</f>
        <v xml:space="preserve">     Freight out/Postage                               </v>
      </c>
      <c r="C55" s="11"/>
      <c r="D55" s="1">
        <f>SUM(OSRRefD21_9x_0)</f>
        <v>84</v>
      </c>
      <c r="E55" s="1">
        <f>SUM(OSRRefD21_9x_1)</f>
        <v>174.01</v>
      </c>
      <c r="F55" s="1">
        <f>SUM(OSRRefD21_9x_2)</f>
        <v>140.93</v>
      </c>
      <c r="G55" s="1">
        <f>SUM(OSRRefD21_9x_3)</f>
        <v>198.03</v>
      </c>
      <c r="H55" s="1">
        <f>SUM(OSRRefD21_9x_4)</f>
        <v>86.7</v>
      </c>
      <c r="I55" s="1">
        <f>SUM(OSRRefD21_9x_5)</f>
        <v>97.5</v>
      </c>
      <c r="J55" s="1">
        <f>SUM(OSRRefD21_9x_6)</f>
        <v>114.28</v>
      </c>
      <c r="K55" s="1">
        <f>SUM(OSRRefD21_9x_7)</f>
        <v>16.829999999999998</v>
      </c>
      <c r="L55" s="1">
        <f>SUM(OSRRefD21_9x_8)</f>
        <v>91.82</v>
      </c>
      <c r="M55" s="1">
        <f>SUM(OSRRefD21_9x_9)</f>
        <v>84.75</v>
      </c>
      <c r="N55" s="1">
        <f>SUM(OSRRefE21_9x_0)</f>
        <v>198</v>
      </c>
      <c r="O55" s="1">
        <f>SUM(OSRRefE21_9x_1)</f>
        <v>202</v>
      </c>
      <c r="Q55" s="2">
        <f>SUM(OSRRefD20_9x)+IFERROR(SUM(OSRRefE20_9x),0)</f>
        <v>1488.8500000000001</v>
      </c>
    </row>
    <row r="56" spans="1:17" s="34" customFormat="1" hidden="1" outlineLevel="1" x14ac:dyDescent="0.25">
      <c r="A56" s="35"/>
      <c r="B56" s="10" t="str">
        <f>CONCATENATE("          ","6305", " - ","FREIGHT OUT")</f>
        <v xml:space="preserve">          6305 - FREIGHT OUT</v>
      </c>
      <c r="C56" s="11"/>
      <c r="D56" s="2"/>
      <c r="E56" s="2">
        <v>5.41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5.41</v>
      </c>
    </row>
    <row r="57" spans="1:17" s="34" customFormat="1" hidden="1" outlineLevel="1" x14ac:dyDescent="0.25">
      <c r="A57" s="35"/>
      <c r="B57" s="10" t="str">
        <f>CONCATENATE("          ","6307", " - ","POSTAGE")</f>
        <v xml:space="preserve">          6307 - POSTAGE</v>
      </c>
      <c r="C57" s="11"/>
      <c r="D57" s="2">
        <v>84</v>
      </c>
      <c r="E57" s="2">
        <v>168.6</v>
      </c>
      <c r="F57" s="2">
        <v>140.93</v>
      </c>
      <c r="G57" s="2">
        <v>198.03</v>
      </c>
      <c r="H57" s="2">
        <v>86.7</v>
      </c>
      <c r="I57" s="2">
        <v>97.5</v>
      </c>
      <c r="J57" s="2">
        <v>114.28</v>
      </c>
      <c r="K57" s="2">
        <v>16.829999999999998</v>
      </c>
      <c r="L57" s="2">
        <v>91.82</v>
      </c>
      <c r="M57" s="2">
        <v>84.75</v>
      </c>
      <c r="N57" s="2">
        <v>198</v>
      </c>
      <c r="O57" s="2">
        <v>202</v>
      </c>
      <c r="P57" s="9"/>
      <c r="Q57" s="2">
        <f>SUM(OSRRefD21_9_1x)+IFERROR(SUM(OSRRefE21_9_1x),0)</f>
        <v>1483.44</v>
      </c>
    </row>
    <row r="58" spans="1:17" s="34" customFormat="1" collapsed="1" x14ac:dyDescent="0.25">
      <c r="A58" s="35"/>
      <c r="B58" s="11" t="str">
        <f>CONCATENATE("     ","General                                           ")</f>
        <v xml:space="preserve">     General                                           </v>
      </c>
      <c r="C58" s="11"/>
      <c r="D58" s="1">
        <f>SUM(OSRRefD21_10x_0)</f>
        <v>0</v>
      </c>
      <c r="E58" s="1">
        <f>SUM(OSRRefD21_10x_1)</f>
        <v>-684</v>
      </c>
      <c r="F58" s="1">
        <f>SUM(OSRRefD21_10x_2)</f>
        <v>850.54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261.2</v>
      </c>
      <c r="K58" s="1">
        <f>SUM(OSRRefD21_10x_7)</f>
        <v>-489.4</v>
      </c>
      <c r="L58" s="1">
        <f>SUM(OSRRefD21_10x_8)</f>
        <v>52</v>
      </c>
      <c r="M58" s="1">
        <f>SUM(OSRRefD21_10x_9)</f>
        <v>52</v>
      </c>
      <c r="N58" s="1">
        <f>SUM(OSRRefE21_10x_0)</f>
        <v>333</v>
      </c>
      <c r="O58" s="1">
        <f>SUM(OSRRefE21_10x_1)</f>
        <v>1337</v>
      </c>
      <c r="Q58" s="2">
        <f>SUM(OSRRefD20_10x)+IFERROR(SUM(OSRRefE20_10x),0)</f>
        <v>1712.34</v>
      </c>
    </row>
    <row r="59" spans="1:17" s="34" customFormat="1" hidden="1" outlineLevel="1" x14ac:dyDescent="0.25">
      <c r="A59" s="35"/>
      <c r="B59" s="10" t="str">
        <f>CONCATENATE("          ","6279", " - ","GENERAL EXPENSE")</f>
        <v xml:space="preserve">          6279 - GENERAL EXPENSE</v>
      </c>
      <c r="C59" s="11"/>
      <c r="D59" s="2"/>
      <c r="E59" s="2">
        <v>-684</v>
      </c>
      <c r="F59" s="2">
        <v>850.54</v>
      </c>
      <c r="G59" s="2"/>
      <c r="H59" s="2"/>
      <c r="I59" s="2"/>
      <c r="J59" s="2">
        <v>261.2</v>
      </c>
      <c r="K59" s="2">
        <v>-489.4</v>
      </c>
      <c r="L59" s="2">
        <v>52</v>
      </c>
      <c r="M59" s="2">
        <v>52</v>
      </c>
      <c r="N59" s="2">
        <v>333</v>
      </c>
      <c r="O59" s="2">
        <v>1337</v>
      </c>
      <c r="P59" s="9"/>
      <c r="Q59" s="2">
        <f>SUM(OSRRefD21_10_0x)+IFERROR(SUM(OSRRefE21_10_0x),0)</f>
        <v>1712.34</v>
      </c>
    </row>
    <row r="60" spans="1:17" s="34" customFormat="1" collapsed="1" x14ac:dyDescent="0.25">
      <c r="A60" s="35"/>
      <c r="B60" s="11" t="str">
        <f>CONCATENATE("     ","Insurance                                         ")</f>
        <v xml:space="preserve">     Insurance                                         </v>
      </c>
      <c r="C60" s="11"/>
      <c r="D60" s="1">
        <f>SUM(OSRRefD21_11x_0)</f>
        <v>393.67</v>
      </c>
      <c r="E60" s="1">
        <f>SUM(OSRRefD21_11x_1)</f>
        <v>393.67</v>
      </c>
      <c r="F60" s="1">
        <f>SUM(OSRRefD21_11x_2)</f>
        <v>393.67</v>
      </c>
      <c r="G60" s="1">
        <f>SUM(OSRRefD21_11x_3)</f>
        <v>393.67</v>
      </c>
      <c r="H60" s="1">
        <f>SUM(OSRRefD21_11x_4)</f>
        <v>393.67</v>
      </c>
      <c r="I60" s="1">
        <f>SUM(OSRRefD21_11x_5)</f>
        <v>393.67</v>
      </c>
      <c r="J60" s="1">
        <f>SUM(OSRRefD21_11x_6)</f>
        <v>393.67</v>
      </c>
      <c r="K60" s="1">
        <f>SUM(OSRRefD21_11x_7)</f>
        <v>393.67</v>
      </c>
      <c r="L60" s="1">
        <f>SUM(OSRRefD21_11x_8)</f>
        <v>393.67</v>
      </c>
      <c r="M60" s="1">
        <f>SUM(OSRRefD21_11x_9)</f>
        <v>393.67</v>
      </c>
      <c r="N60" s="1">
        <f>SUM(OSRRefE21_11x_0)</f>
        <v>422</v>
      </c>
      <c r="O60" s="1">
        <f>SUM(OSRRefE21_11x_1)</f>
        <v>422</v>
      </c>
      <c r="Q60" s="2">
        <f>SUM(OSRRefD20_11x)+IFERROR(SUM(OSRRefE20_11x),0)</f>
        <v>4780.7000000000007</v>
      </c>
    </row>
    <row r="61" spans="1:17" s="34" customFormat="1" hidden="1" outlineLevel="1" x14ac:dyDescent="0.25">
      <c r="A61" s="35"/>
      <c r="B61" s="10" t="str">
        <f>CONCATENATE("          ","6314", " - ","LIABILITY INSURANCE")</f>
        <v xml:space="preserve">          6314 - LIABILITY INSURANCE</v>
      </c>
      <c r="C61" s="11"/>
      <c r="D61" s="2">
        <v>393.67</v>
      </c>
      <c r="E61" s="2">
        <v>393.67</v>
      </c>
      <c r="F61" s="2">
        <v>393.67</v>
      </c>
      <c r="G61" s="2">
        <v>393.67</v>
      </c>
      <c r="H61" s="2">
        <v>393.67</v>
      </c>
      <c r="I61" s="2">
        <v>393.67</v>
      </c>
      <c r="J61" s="2">
        <v>393.67</v>
      </c>
      <c r="K61" s="2">
        <v>393.67</v>
      </c>
      <c r="L61" s="2">
        <v>393.67</v>
      </c>
      <c r="M61" s="2">
        <v>393.67</v>
      </c>
      <c r="N61" s="2">
        <v>422</v>
      </c>
      <c r="O61" s="2">
        <v>422</v>
      </c>
      <c r="P61" s="9"/>
      <c r="Q61" s="2">
        <f>SUM(OSRRefD21_11_0x)+IFERROR(SUM(OSRRefE21_11_0x),0)</f>
        <v>4780.7000000000007</v>
      </c>
    </row>
    <row r="62" spans="1:17" s="34" customFormat="1" collapsed="1" x14ac:dyDescent="0.25">
      <c r="A62" s="35"/>
      <c r="B62" s="11" t="str">
        <f>CONCATENATE("     ","Professional Services                             ")</f>
        <v xml:space="preserve">     Professional Services                             </v>
      </c>
      <c r="C62" s="11"/>
      <c r="D62" s="1">
        <f>SUM(OSRRefD21_12x_0)</f>
        <v>1755</v>
      </c>
      <c r="E62" s="1">
        <f>SUM(OSRRefD21_12x_1)</f>
        <v>12982.84</v>
      </c>
      <c r="F62" s="1">
        <f>SUM(OSRRefD21_12x_2)</f>
        <v>9079.17</v>
      </c>
      <c r="G62" s="1">
        <f>SUM(OSRRefD21_12x_3)</f>
        <v>29955.7</v>
      </c>
      <c r="H62" s="1">
        <f>SUM(OSRRefD21_12x_4)</f>
        <v>11115.750000000002</v>
      </c>
      <c r="I62" s="1">
        <f>SUM(OSRRefD21_12x_5)</f>
        <v>13804.86</v>
      </c>
      <c r="J62" s="1">
        <f>SUM(OSRRefD21_12x_6)</f>
        <v>14763.05</v>
      </c>
      <c r="K62" s="1">
        <f>SUM(OSRRefD21_12x_7)</f>
        <v>725</v>
      </c>
      <c r="L62" s="1">
        <f>SUM(OSRRefD21_12x_8)</f>
        <v>0</v>
      </c>
      <c r="M62" s="1">
        <f>SUM(OSRRefD21_12x_9)</f>
        <v>13240.75</v>
      </c>
      <c r="N62" s="1">
        <f>SUM(OSRRefE21_12x_0)</f>
        <v>3233</v>
      </c>
      <c r="O62" s="1">
        <f>SUM(OSRRefE21_12x_1)</f>
        <v>2237</v>
      </c>
      <c r="Q62" s="2">
        <f>SUM(OSRRefD20_12x)+IFERROR(SUM(OSRRefE20_12x),0)</f>
        <v>112892.12000000001</v>
      </c>
    </row>
    <row r="63" spans="1:17" s="34" customFormat="1" hidden="1" outlineLevel="1" x14ac:dyDescent="0.25">
      <c r="A63" s="35"/>
      <c r="B63" s="10" t="str">
        <f>CONCATENATE("          ","6331", " - ","INDIRECT COSTS-AUXILIARY ORGAN")</f>
        <v xml:space="preserve">          6331 - INDIRECT COSTS-AUXILIARY ORGAN</v>
      </c>
      <c r="C63" s="11"/>
      <c r="D63" s="2"/>
      <c r="E63" s="2">
        <v>11585.75</v>
      </c>
      <c r="F63" s="2">
        <v>8500</v>
      </c>
      <c r="G63" s="2">
        <v>26585.75</v>
      </c>
      <c r="H63" s="2">
        <v>9725</v>
      </c>
      <c r="I63" s="2">
        <v>12850</v>
      </c>
      <c r="J63" s="2">
        <v>11585.75</v>
      </c>
      <c r="K63" s="2"/>
      <c r="L63" s="2"/>
      <c r="M63" s="2">
        <v>11585.75</v>
      </c>
      <c r="N63" s="2"/>
      <c r="O63" s="2"/>
      <c r="P63" s="9"/>
      <c r="Q63" s="2">
        <f>SUM(OSRRefD21_12_0x)+IFERROR(SUM(OSRRefE21_12_0x),0)</f>
        <v>92418</v>
      </c>
    </row>
    <row r="64" spans="1:17" s="34" customFormat="1" hidden="1" outlineLevel="1" x14ac:dyDescent="0.25">
      <c r="A64" s="35"/>
      <c r="B64" s="10" t="str">
        <f>CONCATENATE("          ","6332", " - ","CONSULTANT FEES")</f>
        <v xml:space="preserve">          6332 - CONSULTANT FEES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150</v>
      </c>
      <c r="O64" s="2">
        <v>150</v>
      </c>
      <c r="P64" s="9"/>
      <c r="Q64" s="2">
        <f>SUM(OSRRefD21_12_1x)+IFERROR(SUM(OSRRefE21_12_1x),0)</f>
        <v>300</v>
      </c>
    </row>
    <row r="65" spans="1:17" s="34" customFormat="1" hidden="1" outlineLevel="1" x14ac:dyDescent="0.25">
      <c r="A65" s="35"/>
      <c r="B65" s="10" t="str">
        <f>CONCATENATE("          ","6334", " - ","LEGAL COUNCIL EXPENSE")</f>
        <v xml:space="preserve">          6334 - LEGAL COUNCIL EXPENSE</v>
      </c>
      <c r="C65" s="11"/>
      <c r="D65" s="2">
        <v>100</v>
      </c>
      <c r="E65" s="2">
        <v>1050</v>
      </c>
      <c r="F65" s="2"/>
      <c r="G65" s="2">
        <v>1665</v>
      </c>
      <c r="H65" s="2">
        <v>1259.3800000000001</v>
      </c>
      <c r="I65" s="2">
        <v>954.86</v>
      </c>
      <c r="J65" s="2">
        <v>1225</v>
      </c>
      <c r="K65" s="2">
        <v>725</v>
      </c>
      <c r="L65" s="2"/>
      <c r="M65" s="2"/>
      <c r="N65" s="2">
        <v>1833</v>
      </c>
      <c r="O65" s="2">
        <v>837</v>
      </c>
      <c r="P65" s="9"/>
      <c r="Q65" s="2">
        <f>SUM(OSRRefD21_12_2x)+IFERROR(SUM(OSRRefE21_12_2x),0)</f>
        <v>9649.24</v>
      </c>
    </row>
    <row r="66" spans="1:17" s="34" customFormat="1" hidden="1" outlineLevel="1" x14ac:dyDescent="0.25">
      <c r="A66" s="35"/>
      <c r="B66" s="10" t="str">
        <f>CONCATENATE("          ","6336", " - ","PROFESSIONAL SERVICES")</f>
        <v xml:space="preserve">          6336 - PROFESSIONAL SERVICES</v>
      </c>
      <c r="C66" s="11"/>
      <c r="D66" s="2">
        <v>1655</v>
      </c>
      <c r="E66" s="2">
        <v>347.09</v>
      </c>
      <c r="F66" s="2">
        <v>579.16999999999996</v>
      </c>
      <c r="G66" s="2">
        <v>1704.95</v>
      </c>
      <c r="H66" s="2">
        <v>131.37</v>
      </c>
      <c r="I66" s="2"/>
      <c r="J66" s="2">
        <v>1952.3</v>
      </c>
      <c r="K66" s="2"/>
      <c r="L66" s="2"/>
      <c r="M66" s="2">
        <v>1655</v>
      </c>
      <c r="N66" s="2">
        <v>1250</v>
      </c>
      <c r="O66" s="2">
        <v>1250</v>
      </c>
      <c r="P66" s="9"/>
      <c r="Q66" s="2">
        <f>SUM(OSRRefD21_12_3x)+IFERROR(SUM(OSRRefE21_12_3x),0)</f>
        <v>10524.880000000001</v>
      </c>
    </row>
    <row r="67" spans="1:17" s="34" customFormat="1" collapsed="1" x14ac:dyDescent="0.25">
      <c r="A67" s="35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SUM(OSRRefD21_13x_0)</f>
        <v>20807.009999999998</v>
      </c>
      <c r="E67" s="1">
        <f>SUM(OSRRefD21_13x_1)</f>
        <v>19368.66</v>
      </c>
      <c r="F67" s="1">
        <f>SUM(OSRRefD21_13x_2)</f>
        <v>16226.789999999999</v>
      </c>
      <c r="G67" s="1">
        <f>SUM(OSRRefD21_13x_3)</f>
        <v>23159.67</v>
      </c>
      <c r="H67" s="1">
        <f>SUM(OSRRefD21_13x_4)</f>
        <v>19353.949999999997</v>
      </c>
      <c r="I67" s="1">
        <f>SUM(OSRRefD21_13x_5)</f>
        <v>17905.829999999998</v>
      </c>
      <c r="J67" s="1">
        <f>SUM(OSRRefD21_13x_6)</f>
        <v>24215.309999999998</v>
      </c>
      <c r="K67" s="1">
        <f>SUM(OSRRefD21_13x_7)</f>
        <v>37709.269999999997</v>
      </c>
      <c r="L67" s="1">
        <f>SUM(OSRRefD21_13x_8)</f>
        <v>43851.63</v>
      </c>
      <c r="M67" s="1">
        <f>SUM(OSRRefD21_13x_9)</f>
        <v>21727.52</v>
      </c>
      <c r="N67" s="1">
        <f>SUM(OSRRefE21_13x_0)</f>
        <v>26402</v>
      </c>
      <c r="O67" s="1">
        <f>SUM(OSRRefE21_13x_1)</f>
        <v>28996</v>
      </c>
      <c r="Q67" s="2">
        <f>SUM(OSRRefD20_13x)+IFERROR(SUM(OSRRefE20_13x),0)</f>
        <v>299723.64</v>
      </c>
    </row>
    <row r="68" spans="1:17" s="34" customFormat="1" hidden="1" outlineLevel="1" x14ac:dyDescent="0.25">
      <c r="A68" s="35"/>
      <c r="B68" s="10" t="str">
        <f>CONCATENATE("          ","6371", " - ","COMPUTER SOFTWARE MAINTENANCE")</f>
        <v xml:space="preserve">          6371 - COMPUTER SOFTWARE MAINTENANCE</v>
      </c>
      <c r="C68" s="11"/>
      <c r="D68" s="2">
        <v>4532.2</v>
      </c>
      <c r="E68" s="2">
        <v>3945.66</v>
      </c>
      <c r="F68" s="2">
        <v>3663.15</v>
      </c>
      <c r="G68" s="2">
        <v>6844.26</v>
      </c>
      <c r="H68" s="2">
        <v>4217.41</v>
      </c>
      <c r="I68" s="2">
        <v>2990.93</v>
      </c>
      <c r="J68" s="2">
        <v>4135.6499999999996</v>
      </c>
      <c r="K68" s="2">
        <v>22056.49</v>
      </c>
      <c r="L68" s="2">
        <v>28902.76</v>
      </c>
      <c r="M68" s="2">
        <v>5878.21</v>
      </c>
      <c r="N68" s="2">
        <v>8470</v>
      </c>
      <c r="O68" s="2">
        <v>8470</v>
      </c>
      <c r="P68" s="9"/>
      <c r="Q68" s="2">
        <f>SUM(OSRRefD21_13_0x)+IFERROR(SUM(OSRRefE21_13_0x),0)</f>
        <v>104106.72</v>
      </c>
    </row>
    <row r="69" spans="1:17" s="34" customFormat="1" hidden="1" outlineLevel="1" x14ac:dyDescent="0.25">
      <c r="A69" s="35"/>
      <c r="B69" s="10" t="str">
        <f>CONCATENATE("          ","6372", " - ","COMPUTER HARDWARE MAINTENANCE")</f>
        <v xml:space="preserve">          6372 - COMPUTER HARDWARE MAINTENANCE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1600</v>
      </c>
      <c r="O69" s="2">
        <v>4200</v>
      </c>
      <c r="P69" s="9"/>
      <c r="Q69" s="2">
        <f>SUM(OSRRefD21_13_1x)+IFERROR(SUM(OSRRefE21_13_1x),0)</f>
        <v>5800</v>
      </c>
    </row>
    <row r="70" spans="1:17" s="34" customFormat="1" hidden="1" outlineLevel="1" x14ac:dyDescent="0.25">
      <c r="A70" s="35"/>
      <c r="B70" s="10" t="str">
        <f>CONCATENATE("          ","6373", " - ","MAINTENANCE CONTRACTS")</f>
        <v xml:space="preserve">          6373 - MAINTENANCE CONTRACTS</v>
      </c>
      <c r="C70" s="11"/>
      <c r="D70" s="2">
        <v>15455.62</v>
      </c>
      <c r="E70" s="2">
        <v>15423</v>
      </c>
      <c r="F70" s="2">
        <v>12563.64</v>
      </c>
      <c r="G70" s="2">
        <v>15449.41</v>
      </c>
      <c r="H70" s="2">
        <v>14651.44</v>
      </c>
      <c r="I70" s="2">
        <v>14914.9</v>
      </c>
      <c r="J70" s="2">
        <v>20079.66</v>
      </c>
      <c r="K70" s="2">
        <v>15525.76</v>
      </c>
      <c r="L70" s="2">
        <v>14948.87</v>
      </c>
      <c r="M70" s="2">
        <v>15799.19</v>
      </c>
      <c r="N70" s="2">
        <v>16332</v>
      </c>
      <c r="O70" s="2">
        <v>16326</v>
      </c>
      <c r="P70" s="9"/>
      <c r="Q70" s="2">
        <f>SUM(OSRRefD21_13_2x)+IFERROR(SUM(OSRRefE21_13_2x),0)</f>
        <v>187469.49</v>
      </c>
    </row>
    <row r="71" spans="1:17" s="34" customFormat="1" hidden="1" outlineLevel="1" x14ac:dyDescent="0.25">
      <c r="A71" s="35"/>
      <c r="B71" s="10" t="str">
        <f>CONCATENATE("          ","6375", " - ","OUTSIDE REPAIRS &amp; MAINTENANCE")</f>
        <v xml:space="preserve">          6375 - OUTSIDE REPAIRS &amp; MAINTENANCE</v>
      </c>
      <c r="C71" s="11"/>
      <c r="D71" s="2">
        <v>819.19</v>
      </c>
      <c r="E71" s="2"/>
      <c r="F71" s="2"/>
      <c r="G71" s="2">
        <v>866</v>
      </c>
      <c r="H71" s="2">
        <v>485.1</v>
      </c>
      <c r="I71" s="2"/>
      <c r="J71" s="2"/>
      <c r="K71" s="2">
        <v>127.02</v>
      </c>
      <c r="L71" s="2"/>
      <c r="M71" s="2">
        <v>50.12</v>
      </c>
      <c r="N71" s="2"/>
      <c r="O71" s="2"/>
      <c r="P71" s="9"/>
      <c r="Q71" s="2">
        <f>SUM(OSRRefD21_13_3x)+IFERROR(SUM(OSRRefE21_13_3x),0)</f>
        <v>2347.4299999999998</v>
      </c>
    </row>
    <row r="72" spans="1:17" s="34" customFormat="1" collapsed="1" x14ac:dyDescent="0.25">
      <c r="A72" s="35"/>
      <c r="B72" s="11" t="str">
        <f>CONCATENATE("     ","Services                                          ")</f>
        <v xml:space="preserve">     Services                                          </v>
      </c>
      <c r="C72" s="11"/>
      <c r="D72" s="1">
        <f>SUM(OSRRefD21_14x_0)</f>
        <v>512.48</v>
      </c>
      <c r="E72" s="1">
        <f>SUM(OSRRefD21_14x_1)</f>
        <v>0</v>
      </c>
      <c r="F72" s="1">
        <f>SUM(OSRRefD21_14x_2)</f>
        <v>512.48</v>
      </c>
      <c r="G72" s="1">
        <f>SUM(OSRRefD21_14x_3)</f>
        <v>1024.96</v>
      </c>
      <c r="H72" s="1">
        <f>SUM(OSRRefD21_14x_4)</f>
        <v>512.48</v>
      </c>
      <c r="I72" s="1">
        <f>SUM(OSRRefD21_14x_5)</f>
        <v>512.48</v>
      </c>
      <c r="J72" s="1">
        <f>SUM(OSRRefD21_14x_6)</f>
        <v>632.79999999999995</v>
      </c>
      <c r="K72" s="1">
        <f>SUM(OSRRefD21_14x_7)</f>
        <v>621.34</v>
      </c>
      <c r="L72" s="1">
        <f>SUM(OSRRefD21_14x_8)</f>
        <v>1251.32</v>
      </c>
      <c r="M72" s="1">
        <f>SUM(OSRRefD21_14x_9)</f>
        <v>0</v>
      </c>
      <c r="N72" s="1">
        <f>SUM(OSRRefE21_14x_0)</f>
        <v>537</v>
      </c>
      <c r="O72" s="1">
        <f>SUM(OSRRefE21_14x_1)</f>
        <v>537</v>
      </c>
      <c r="Q72" s="2">
        <f>SUM(OSRRefD20_14x)+IFERROR(SUM(OSRRefE20_14x),0)</f>
        <v>6654.34</v>
      </c>
    </row>
    <row r="73" spans="1:17" s="34" customFormat="1" hidden="1" outlineLevel="1" x14ac:dyDescent="0.25">
      <c r="A73" s="35"/>
      <c r="B73" s="10" t="str">
        <f>CONCATENATE("          ","6281", " - ","STORAGE FEE")</f>
        <v xml:space="preserve">          6281 - STORAGE FEE</v>
      </c>
      <c r="C73" s="11"/>
      <c r="D73" s="2">
        <v>512.48</v>
      </c>
      <c r="E73" s="2"/>
      <c r="F73" s="2">
        <v>512.48</v>
      </c>
      <c r="G73" s="2">
        <v>1024.96</v>
      </c>
      <c r="H73" s="2">
        <v>512.48</v>
      </c>
      <c r="I73" s="2">
        <v>512.48</v>
      </c>
      <c r="J73" s="2">
        <v>632.79999999999995</v>
      </c>
      <c r="K73" s="2">
        <v>621.34</v>
      </c>
      <c r="L73" s="2">
        <v>1251.32</v>
      </c>
      <c r="M73" s="2"/>
      <c r="N73" s="2">
        <v>512</v>
      </c>
      <c r="O73" s="2">
        <v>512</v>
      </c>
      <c r="P73" s="9"/>
      <c r="Q73" s="2">
        <f>SUM(OSRRefD21_14_0x)+IFERROR(SUM(OSRRefE21_14_0x),0)</f>
        <v>6604.34</v>
      </c>
    </row>
    <row r="74" spans="1:17" s="34" customFormat="1" hidden="1" outlineLevel="1" x14ac:dyDescent="0.25">
      <c r="A74" s="35"/>
      <c r="B74" s="10" t="str">
        <f>CONCATENATE("          ","6286", " - ","LAUNDRY EXPENSE")</f>
        <v xml:space="preserve">          6286 - LAUNDRY EXPENSE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>
        <v>25</v>
      </c>
      <c r="O74" s="2">
        <v>25</v>
      </c>
      <c r="P74" s="9"/>
      <c r="Q74" s="2">
        <f>SUM(OSRRefD21_14_1x)+IFERROR(SUM(OSRRefE21_14_1x),0)</f>
        <v>50</v>
      </c>
    </row>
    <row r="75" spans="1:17" s="34" customFormat="1" collapsed="1" x14ac:dyDescent="0.25">
      <c r="A75" s="35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1">
        <f>SUM(OSRRefD21_15x_0)</f>
        <v>0</v>
      </c>
      <c r="E75" s="1">
        <f>SUM(OSRRefD21_15x_1)</f>
        <v>1725</v>
      </c>
      <c r="F75" s="1">
        <f>SUM(OSRRefD21_15x_2)</f>
        <v>0</v>
      </c>
      <c r="G75" s="1">
        <f>SUM(OSRRefD21_15x_3)</f>
        <v>534.99</v>
      </c>
      <c r="H75" s="1">
        <f>SUM(OSRRefD21_15x_4)</f>
        <v>0</v>
      </c>
      <c r="I75" s="1">
        <f>SUM(OSRRefD21_15x_5)</f>
        <v>0</v>
      </c>
      <c r="J75" s="1">
        <f>SUM(OSRRefD21_15x_6)</f>
        <v>0</v>
      </c>
      <c r="K75" s="1">
        <f>SUM(OSRRefD21_15x_7)</f>
        <v>795</v>
      </c>
      <c r="L75" s="1">
        <f>SUM(OSRRefD21_15x_8)</f>
        <v>0</v>
      </c>
      <c r="M75" s="1">
        <f>SUM(OSRRefD21_15x_9)</f>
        <v>4668</v>
      </c>
      <c r="N75" s="1">
        <f>SUM(OSRRefE21_15x_0)</f>
        <v>1855</v>
      </c>
      <c r="O75" s="1">
        <f>SUM(OSRRefE21_15x_1)</f>
        <v>1652</v>
      </c>
      <c r="Q75" s="2">
        <f>SUM(OSRRefD20_15x)+IFERROR(SUM(OSRRefE20_15x),0)</f>
        <v>11229.99</v>
      </c>
    </row>
    <row r="76" spans="1:17" s="34" customFormat="1" hidden="1" outlineLevel="1" x14ac:dyDescent="0.25">
      <c r="A76" s="35"/>
      <c r="B76" s="10" t="str">
        <f>CONCATENATE("          ","6258", " - ","MEMBERSHIP DUES")</f>
        <v xml:space="preserve">          6258 - MEMBERSHIP DUES</v>
      </c>
      <c r="C76" s="11"/>
      <c r="D76" s="2"/>
      <c r="E76" s="2">
        <v>1725</v>
      </c>
      <c r="F76" s="2"/>
      <c r="G76" s="2">
        <v>534.99</v>
      </c>
      <c r="H76" s="2"/>
      <c r="I76" s="2"/>
      <c r="J76" s="2"/>
      <c r="K76" s="2">
        <v>795</v>
      </c>
      <c r="L76" s="2"/>
      <c r="M76" s="2">
        <v>4668</v>
      </c>
      <c r="N76" s="2">
        <v>1755</v>
      </c>
      <c r="O76" s="2">
        <v>1552</v>
      </c>
      <c r="P76" s="9"/>
      <c r="Q76" s="2">
        <f>SUM(OSRRefD21_15_0x)+IFERROR(SUM(OSRRefE21_15_0x),0)</f>
        <v>11029.99</v>
      </c>
    </row>
    <row r="77" spans="1:17" s="34" customFormat="1" hidden="1" outlineLevel="1" x14ac:dyDescent="0.25">
      <c r="A77" s="35"/>
      <c r="B77" s="10" t="str">
        <f>CONCATENATE("          ","6275", " - ","SUBSCRIPTIONS")</f>
        <v xml:space="preserve">          6275 - SUBSCRIPTIONS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100</v>
      </c>
      <c r="O77" s="2">
        <v>100</v>
      </c>
      <c r="P77" s="9"/>
      <c r="Q77" s="2">
        <f>SUM(OSRRefD21_15_1x)+IFERROR(SUM(OSRRefE21_15_1x),0)</f>
        <v>200</v>
      </c>
    </row>
    <row r="78" spans="1:17" s="34" customFormat="1" collapsed="1" x14ac:dyDescent="0.25">
      <c r="A78" s="35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SUM(OSRRefD21_16x_0)</f>
        <v>1098.79</v>
      </c>
      <c r="E78" s="1">
        <f>SUM(OSRRefD21_16x_1)</f>
        <v>584.02</v>
      </c>
      <c r="F78" s="1">
        <f>SUM(OSRRefD21_16x_2)</f>
        <v>-4127.33</v>
      </c>
      <c r="G78" s="1">
        <f>SUM(OSRRefD21_16x_3)</f>
        <v>482.82</v>
      </c>
      <c r="H78" s="1">
        <f>SUM(OSRRefD21_16x_4)</f>
        <v>1579.17</v>
      </c>
      <c r="I78" s="1">
        <f>SUM(OSRRefD21_16x_5)</f>
        <v>308.95</v>
      </c>
      <c r="J78" s="1">
        <f>SUM(OSRRefD21_16x_6)</f>
        <v>862.65</v>
      </c>
      <c r="K78" s="1">
        <f>SUM(OSRRefD21_16x_7)</f>
        <v>2119</v>
      </c>
      <c r="L78" s="1">
        <f>SUM(OSRRefD21_16x_8)</f>
        <v>446.47</v>
      </c>
      <c r="M78" s="1">
        <f>SUM(OSRRefD21_16x_9)</f>
        <v>251.76</v>
      </c>
      <c r="N78" s="1">
        <f>SUM(OSRRefE21_16x_0)</f>
        <v>4367</v>
      </c>
      <c r="O78" s="1">
        <f>SUM(OSRRefE21_16x_1)</f>
        <v>4863</v>
      </c>
      <c r="Q78" s="2">
        <f>SUM(OSRRefD20_16x)+IFERROR(SUM(OSRRefE20_16x),0)</f>
        <v>12836.3</v>
      </c>
    </row>
    <row r="79" spans="1:17" s="34" customFormat="1" hidden="1" outlineLevel="1" x14ac:dyDescent="0.25">
      <c r="A79" s="35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1000</v>
      </c>
      <c r="O79" s="2">
        <v>1000</v>
      </c>
      <c r="P79" s="9"/>
      <c r="Q79" s="2">
        <f>SUM(OSRRefD21_16_0x)+IFERROR(SUM(OSRRefE21_16_0x),0)</f>
        <v>2000</v>
      </c>
    </row>
    <row r="80" spans="1:17" s="34" customFormat="1" hidden="1" outlineLevel="1" x14ac:dyDescent="0.25">
      <c r="A80" s="35"/>
      <c r="B80" s="10" t="str">
        <f>CONCATENATE("          ","6235", " - ","COVID-19 EXPENSES")</f>
        <v xml:space="preserve">          6235 - COVID-19 EXPENSES</v>
      </c>
      <c r="C80" s="11"/>
      <c r="D80" s="2">
        <v>744.18</v>
      </c>
      <c r="E80" s="2"/>
      <c r="F80" s="2"/>
      <c r="G80" s="2"/>
      <c r="H80" s="2">
        <v>66.12</v>
      </c>
      <c r="I80" s="2"/>
      <c r="J80" s="2"/>
      <c r="K80" s="2"/>
      <c r="L80" s="2"/>
      <c r="M80" s="2"/>
      <c r="N80" s="2">
        <v>417</v>
      </c>
      <c r="O80" s="2">
        <v>913</v>
      </c>
      <c r="P80" s="9"/>
      <c r="Q80" s="2">
        <f>SUM(OSRRefD21_16_1x)+IFERROR(SUM(OSRRefE21_16_1x),0)</f>
        <v>2140.3000000000002</v>
      </c>
    </row>
    <row r="81" spans="1:17" s="34" customFormat="1" hidden="1" outlineLevel="1" x14ac:dyDescent="0.25">
      <c r="A81" s="35"/>
      <c r="B81" s="10" t="str">
        <f>CONCATENATE("          ","6241", " - ","OFFICE EXPENSE")</f>
        <v xml:space="preserve">          6241 - OFFICE EXPENSE</v>
      </c>
      <c r="C81" s="11"/>
      <c r="D81" s="2">
        <v>252.94</v>
      </c>
      <c r="E81" s="2">
        <v>537.98</v>
      </c>
      <c r="F81" s="2">
        <v>-4177.33</v>
      </c>
      <c r="G81" s="2">
        <v>457.82</v>
      </c>
      <c r="H81" s="2">
        <v>1513.05</v>
      </c>
      <c r="I81" s="2">
        <v>308.95</v>
      </c>
      <c r="J81" s="2">
        <v>862.65</v>
      </c>
      <c r="K81" s="2">
        <v>2119</v>
      </c>
      <c r="L81" s="2">
        <v>446.47</v>
      </c>
      <c r="M81" s="2">
        <v>251.76</v>
      </c>
      <c r="N81" s="2">
        <v>2533</v>
      </c>
      <c r="O81" s="2">
        <v>2537</v>
      </c>
      <c r="P81" s="9"/>
      <c r="Q81" s="2">
        <f>SUM(OSRRefD21_16_2x)+IFERROR(SUM(OSRRefE21_16_2x),0)</f>
        <v>7643.2900000000009</v>
      </c>
    </row>
    <row r="82" spans="1:17" s="34" customFormat="1" hidden="1" outlineLevel="1" x14ac:dyDescent="0.25">
      <c r="A82" s="35"/>
      <c r="B82" s="10" t="str">
        <f>CONCATENATE("          ","6244", " - ","SAFETY SUPPLY EXPENSE")</f>
        <v xml:space="preserve">          6244 - SAFETY SUPPLY EXPENSE</v>
      </c>
      <c r="C82" s="11"/>
      <c r="D82" s="2">
        <v>101.67</v>
      </c>
      <c r="E82" s="2">
        <v>46.04</v>
      </c>
      <c r="F82" s="2">
        <v>50</v>
      </c>
      <c r="G82" s="2">
        <v>25</v>
      </c>
      <c r="H82" s="2"/>
      <c r="I82" s="2"/>
      <c r="J82" s="2"/>
      <c r="K82" s="2"/>
      <c r="L82" s="2"/>
      <c r="M82" s="2"/>
      <c r="N82" s="2">
        <v>417</v>
      </c>
      <c r="O82" s="2">
        <v>413</v>
      </c>
      <c r="P82" s="9"/>
      <c r="Q82" s="2">
        <f>SUM(OSRRefD21_16_3x)+IFERROR(SUM(OSRRefE21_16_3x),0)</f>
        <v>1052.71</v>
      </c>
    </row>
    <row r="83" spans="1:17" s="34" customFormat="1" collapsed="1" x14ac:dyDescent="0.25">
      <c r="A83" s="35"/>
      <c r="B83" s="11" t="str">
        <f>CONCATENATE("     ","Telephone/Data Lines                              ")</f>
        <v xml:space="preserve">     Telephone/Data Lines                              </v>
      </c>
      <c r="C83" s="11"/>
      <c r="D83" s="1">
        <f>SUM(OSRRefD21_17x_0)</f>
        <v>2014.43</v>
      </c>
      <c r="E83" s="1">
        <f>SUM(OSRRefD21_17x_1)</f>
        <v>2156.66</v>
      </c>
      <c r="F83" s="1">
        <f>SUM(OSRRefD21_17x_2)</f>
        <v>2109.0099999999998</v>
      </c>
      <c r="G83" s="1">
        <f>SUM(OSRRefD21_17x_3)</f>
        <v>1888.1</v>
      </c>
      <c r="H83" s="1">
        <f>SUM(OSRRefD21_17x_4)</f>
        <v>1878.28</v>
      </c>
      <c r="I83" s="1">
        <f>SUM(OSRRefD21_17x_5)</f>
        <v>3139.3399999999997</v>
      </c>
      <c r="J83" s="1">
        <f>SUM(OSRRefD21_17x_6)</f>
        <v>1483.32</v>
      </c>
      <c r="K83" s="1">
        <f>SUM(OSRRefD21_17x_7)</f>
        <v>2681.8799999999997</v>
      </c>
      <c r="L83" s="1">
        <f>SUM(OSRRefD21_17x_8)</f>
        <v>1800.76</v>
      </c>
      <c r="M83" s="1">
        <f>SUM(OSRRefD21_17x_9)</f>
        <v>1137.29</v>
      </c>
      <c r="N83" s="1">
        <f>SUM(OSRRefE21_17x_0)</f>
        <v>1485</v>
      </c>
      <c r="O83" s="1">
        <f>SUM(OSRRefE21_17x_1)</f>
        <v>1635</v>
      </c>
      <c r="Q83" s="2">
        <f>SUM(OSRRefD20_17x)+IFERROR(SUM(OSRRefE20_17x),0)</f>
        <v>23409.07</v>
      </c>
    </row>
    <row r="84" spans="1:17" s="34" customFormat="1" hidden="1" outlineLevel="1" x14ac:dyDescent="0.25">
      <c r="A84" s="35"/>
      <c r="B84" s="10" t="str">
        <f>CONCATENATE("          ","6303", " - ","DATA PHONE LINES")</f>
        <v xml:space="preserve">          6303 - DATA PHONE LINES</v>
      </c>
      <c r="C84" s="11"/>
      <c r="D84" s="2">
        <v>78.989999999999995</v>
      </c>
      <c r="E84" s="2">
        <v>78.989999999999995</v>
      </c>
      <c r="F84" s="2">
        <v>78.989999999999995</v>
      </c>
      <c r="G84" s="2">
        <v>143.97999999999999</v>
      </c>
      <c r="H84" s="2">
        <v>144.97999999999999</v>
      </c>
      <c r="I84" s="2">
        <v>238.97</v>
      </c>
      <c r="J84" s="2">
        <v>158.97999999999999</v>
      </c>
      <c r="K84" s="2">
        <v>78.989999999999995</v>
      </c>
      <c r="L84" s="2">
        <v>238.97</v>
      </c>
      <c r="M84" s="2">
        <v>161.97999999999999</v>
      </c>
      <c r="N84" s="2">
        <v>335</v>
      </c>
      <c r="O84" s="2">
        <v>335</v>
      </c>
      <c r="P84" s="9"/>
      <c r="Q84" s="2">
        <f>SUM(OSRRefD21_17_0x)+IFERROR(SUM(OSRRefE21_17_0x),0)</f>
        <v>2073.8199999999997</v>
      </c>
    </row>
    <row r="85" spans="1:17" s="34" customFormat="1" hidden="1" outlineLevel="1" x14ac:dyDescent="0.25">
      <c r="A85" s="35"/>
      <c r="B85" s="10" t="str">
        <f>CONCATENATE("          ","6309", " - ","TELEPHONE")</f>
        <v xml:space="preserve">          6309 - TELEPHONE</v>
      </c>
      <c r="C85" s="11"/>
      <c r="D85" s="2">
        <v>1935.44</v>
      </c>
      <c r="E85" s="2">
        <v>2077.67</v>
      </c>
      <c r="F85" s="2">
        <v>2030.02</v>
      </c>
      <c r="G85" s="2">
        <v>1744.12</v>
      </c>
      <c r="H85" s="2">
        <v>1733.3</v>
      </c>
      <c r="I85" s="2">
        <v>2900.37</v>
      </c>
      <c r="J85" s="2">
        <v>1324.34</v>
      </c>
      <c r="K85" s="2">
        <v>2602.89</v>
      </c>
      <c r="L85" s="2">
        <v>1561.79</v>
      </c>
      <c r="M85" s="2">
        <v>975.31</v>
      </c>
      <c r="N85" s="2">
        <v>1150</v>
      </c>
      <c r="O85" s="2">
        <v>1300</v>
      </c>
      <c r="P85" s="9"/>
      <c r="Q85" s="2">
        <f>SUM(OSRRefD21_17_1x)+IFERROR(SUM(OSRRefE21_17_1x),0)</f>
        <v>21335.25</v>
      </c>
    </row>
    <row r="86" spans="1:17" s="34" customFormat="1" collapsed="1" x14ac:dyDescent="0.25">
      <c r="A86" s="35"/>
      <c r="B86" s="11" t="str">
        <f>CONCATENATE("     ","Training                                          ")</f>
        <v xml:space="preserve">     Training                                          </v>
      </c>
      <c r="C86" s="11"/>
      <c r="D86" s="1">
        <f>SUM(OSRRefD21_18x_0)</f>
        <v>0</v>
      </c>
      <c r="E86" s="1">
        <f>SUM(OSRRefD21_18x_1)</f>
        <v>0</v>
      </c>
      <c r="F86" s="1">
        <f>SUM(OSRRefD21_18x_2)</f>
        <v>102</v>
      </c>
      <c r="G86" s="1">
        <f>SUM(OSRRefD21_18x_3)</f>
        <v>199</v>
      </c>
      <c r="H86" s="1">
        <f>SUM(OSRRefD21_18x_4)</f>
        <v>1126.5</v>
      </c>
      <c r="I86" s="1">
        <f>SUM(OSRRefD21_18x_5)</f>
        <v>249</v>
      </c>
      <c r="J86" s="1">
        <f>SUM(OSRRefD21_18x_6)</f>
        <v>0</v>
      </c>
      <c r="K86" s="1">
        <f>SUM(OSRRefD21_18x_7)</f>
        <v>150</v>
      </c>
      <c r="L86" s="1">
        <f>SUM(OSRRefD21_18x_8)</f>
        <v>399</v>
      </c>
      <c r="M86" s="1">
        <f>SUM(OSRRefD21_18x_9)</f>
        <v>3000</v>
      </c>
      <c r="N86" s="1">
        <f>SUM(OSRRefE21_18x_0)</f>
        <v>1146</v>
      </c>
      <c r="O86" s="1">
        <f>SUM(OSRRefE21_18x_1)</f>
        <v>1146</v>
      </c>
      <c r="Q86" s="2">
        <f>SUM(OSRRefD20_18x)+IFERROR(SUM(OSRRefE20_18x),0)</f>
        <v>7517.5</v>
      </c>
    </row>
    <row r="87" spans="1:17" s="34" customFormat="1" hidden="1" outlineLevel="1" x14ac:dyDescent="0.25">
      <c r="A87" s="35"/>
      <c r="B87" s="10" t="str">
        <f>CONCATENATE("          ","6376", " - ","TRAINING")</f>
        <v xml:space="preserve">          6376 - TRAINING</v>
      </c>
      <c r="C87" s="11"/>
      <c r="D87" s="2"/>
      <c r="E87" s="2"/>
      <c r="F87" s="2">
        <v>102</v>
      </c>
      <c r="G87" s="2">
        <v>199</v>
      </c>
      <c r="H87" s="2">
        <v>1126.5</v>
      </c>
      <c r="I87" s="2">
        <v>249</v>
      </c>
      <c r="J87" s="2"/>
      <c r="K87" s="2">
        <v>150</v>
      </c>
      <c r="L87" s="2">
        <v>399</v>
      </c>
      <c r="M87" s="2">
        <v>3000</v>
      </c>
      <c r="N87" s="2">
        <v>1146</v>
      </c>
      <c r="O87" s="2">
        <v>1146</v>
      </c>
      <c r="P87" s="9"/>
      <c r="Q87" s="2">
        <f>SUM(OSRRefD21_18_0x)+IFERROR(SUM(OSRRefE21_18_0x),0)</f>
        <v>7517.5</v>
      </c>
    </row>
    <row r="88" spans="1:17" s="34" customFormat="1" collapsed="1" x14ac:dyDescent="0.25">
      <c r="A88" s="35"/>
      <c r="B88" s="11" t="str">
        <f>CONCATENATE("     ","Travel                                            ")</f>
        <v xml:space="preserve">     Travel                                            </v>
      </c>
      <c r="C88" s="11"/>
      <c r="D88" s="1">
        <f>SUM(OSRRefD21_19x_0)</f>
        <v>9.75</v>
      </c>
      <c r="E88" s="1">
        <f>SUM(OSRRefD21_19x_1)</f>
        <v>7.8</v>
      </c>
      <c r="F88" s="1">
        <f>SUM(OSRRefD21_19x_2)</f>
        <v>0</v>
      </c>
      <c r="G88" s="1">
        <f>SUM(OSRRefD21_19x_3)</f>
        <v>29.07</v>
      </c>
      <c r="H88" s="1">
        <f>SUM(OSRRefD21_19x_4)</f>
        <v>720</v>
      </c>
      <c r="I88" s="1">
        <f>SUM(OSRRefD21_19x_5)</f>
        <v>0</v>
      </c>
      <c r="J88" s="1">
        <f>SUM(OSRRefD21_19x_6)</f>
        <v>21.2</v>
      </c>
      <c r="K88" s="1">
        <f>SUM(OSRRefD21_19x_7)</f>
        <v>0</v>
      </c>
      <c r="L88" s="1">
        <f>SUM(OSRRefD21_19x_8)</f>
        <v>7.6</v>
      </c>
      <c r="M88" s="1">
        <f>SUM(OSRRefD21_19x_9)</f>
        <v>13.3</v>
      </c>
      <c r="N88" s="1">
        <f>SUM(OSRRefE21_19x_0)</f>
        <v>625</v>
      </c>
      <c r="O88" s="1">
        <f>SUM(OSRRefE21_19x_1)</f>
        <v>625</v>
      </c>
      <c r="Q88" s="2">
        <f>SUM(OSRRefD20_19x)+IFERROR(SUM(OSRRefE20_19x),0)</f>
        <v>2058.7200000000003</v>
      </c>
    </row>
    <row r="89" spans="1:17" s="34" customFormat="1" hidden="1" outlineLevel="1" x14ac:dyDescent="0.25">
      <c r="A89" s="35"/>
      <c r="B89" s="10" t="str">
        <f>CONCATENATE("          ","6292", " - ","TRAVEL/CONFERENCE")</f>
        <v xml:space="preserve">          6292 - TRAVEL/CONFERENCE</v>
      </c>
      <c r="C89" s="11"/>
      <c r="D89" s="2"/>
      <c r="E89" s="2"/>
      <c r="F89" s="2"/>
      <c r="G89" s="2"/>
      <c r="H89" s="2">
        <v>720</v>
      </c>
      <c r="I89" s="2"/>
      <c r="J89" s="2"/>
      <c r="K89" s="2"/>
      <c r="L89" s="2"/>
      <c r="M89" s="2"/>
      <c r="N89" s="2">
        <v>625</v>
      </c>
      <c r="O89" s="2">
        <v>625</v>
      </c>
      <c r="P89" s="9"/>
      <c r="Q89" s="2">
        <f>SUM(OSRRefD21_19_0x)+IFERROR(SUM(OSRRefE21_19_0x),0)</f>
        <v>1970</v>
      </c>
    </row>
    <row r="90" spans="1:17" s="34" customFormat="1" hidden="1" outlineLevel="1" x14ac:dyDescent="0.25">
      <c r="A90" s="35"/>
      <c r="B90" s="10" t="str">
        <f>CONCATENATE("          ","6294", " - ","TRAVEL OPERATIONAL")</f>
        <v xml:space="preserve">          6294 - TRAVEL OPERATIONAL</v>
      </c>
      <c r="C90" s="11"/>
      <c r="D90" s="2">
        <v>9.75</v>
      </c>
      <c r="E90" s="2">
        <v>7.8</v>
      </c>
      <c r="F90" s="2"/>
      <c r="G90" s="2">
        <v>29.07</v>
      </c>
      <c r="H90" s="2"/>
      <c r="I90" s="2"/>
      <c r="J90" s="2">
        <v>21.2</v>
      </c>
      <c r="K90" s="2"/>
      <c r="L90" s="2">
        <v>7.6</v>
      </c>
      <c r="M90" s="2">
        <v>13.3</v>
      </c>
      <c r="N90" s="2"/>
      <c r="O90" s="2"/>
      <c r="P90" s="9"/>
      <c r="Q90" s="2">
        <f>SUM(OSRRefD21_19_1x)+IFERROR(SUM(OSRRefE21_19_1x),0)</f>
        <v>88.72</v>
      </c>
    </row>
    <row r="91" spans="1:17" s="30" customFormat="1" x14ac:dyDescent="0.25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25">
      <c r="A92" s="23"/>
      <c r="B92" s="16" t="s">
        <v>291</v>
      </c>
      <c r="C92" s="22"/>
      <c r="D92" s="3">
        <f t="shared" ref="D92:M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>
        <f t="shared" si="4"/>
        <v>0</v>
      </c>
      <c r="K92" s="3">
        <f t="shared" si="4"/>
        <v>0</v>
      </c>
      <c r="L92" s="3">
        <f t="shared" si="4"/>
        <v>0</v>
      </c>
      <c r="M92" s="3">
        <f t="shared" si="4"/>
        <v>0</v>
      </c>
      <c r="N92" s="3"/>
      <c r="O92" s="3"/>
      <c r="Q92" s="2">
        <f>SUM(OSRRefD23_0x)+IFERROR(SUM(OSRRefE23_0x),0)</f>
        <v>0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6"/>
      <c r="B94" s="17" t="s">
        <v>274</v>
      </c>
      <c r="C94" s="17"/>
      <c r="D94" s="8">
        <f t="shared" ref="D94:O94" si="5">IFERROR(+D14-D17+D92, 0)</f>
        <v>-234703.24000000008</v>
      </c>
      <c r="E94" s="8">
        <f t="shared" si="5"/>
        <v>-219113.02</v>
      </c>
      <c r="F94" s="8">
        <f t="shared" si="5"/>
        <v>-210081.4800000001</v>
      </c>
      <c r="G94" s="8">
        <f t="shared" si="5"/>
        <v>-259749.95</v>
      </c>
      <c r="H94" s="8">
        <f t="shared" si="5"/>
        <v>183271.43000000002</v>
      </c>
      <c r="I94" s="8">
        <f t="shared" si="5"/>
        <v>-211174.94999999998</v>
      </c>
      <c r="J94" s="8">
        <f t="shared" si="5"/>
        <v>-247477.44999999995</v>
      </c>
      <c r="K94" s="8">
        <f t="shared" si="5"/>
        <v>-217201.57</v>
      </c>
      <c r="L94" s="8">
        <f t="shared" si="5"/>
        <v>-225320.12000000002</v>
      </c>
      <c r="M94" s="8">
        <f t="shared" si="5"/>
        <v>-242086.48</v>
      </c>
      <c r="N94" s="8">
        <f t="shared" si="5"/>
        <v>-241073.10499076926</v>
      </c>
      <c r="O94" s="8">
        <f t="shared" si="5"/>
        <v>-245653.87663076926</v>
      </c>
      <c r="Q94" s="8">
        <f>IFERROR(+Q14-Q17+Q92, 0)</f>
        <v>-2370363.8116215388</v>
      </c>
    </row>
    <row r="95" spans="1:17" s="6" customFormat="1" x14ac:dyDescent="0.25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25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>IFERROR(+D94-#REF!, 0)</f>
        <v>0</v>
      </c>
      <c r="E98" s="7">
        <f>IFERROR(+E94-#REF!, 0)</f>
        <v>0</v>
      </c>
      <c r="F98" s="7">
        <f>IFERROR(+F94-#REF!, 0)</f>
        <v>0</v>
      </c>
      <c r="G98" s="7">
        <f>IFERROR(+G94-#REF!, 0)</f>
        <v>0</v>
      </c>
      <c r="H98" s="7">
        <f>IFERROR(+H94-#REF!, 0)</f>
        <v>0</v>
      </c>
      <c r="I98" s="7">
        <f>IFERROR(+I94-#REF!, 0)</f>
        <v>0</v>
      </c>
      <c r="J98" s="7">
        <f>IFERROR(+J94-#REF!, 0)</f>
        <v>0</v>
      </c>
      <c r="K98" s="7">
        <f>IFERROR(+K94-#REF!, 0)</f>
        <v>0</v>
      </c>
      <c r="L98" s="7">
        <f>IFERROR(+L94-#REF!, 0)</f>
        <v>0</v>
      </c>
      <c r="M98" s="7">
        <f>IFERROR(+M94-#REF!, 0)</f>
        <v>0</v>
      </c>
      <c r="N98" s="7">
        <f>IFERROR(+N94-#REF!, 0)</f>
        <v>0</v>
      </c>
      <c r="O98" s="7">
        <f>IFERROR(+O94-#REF!, 0)</f>
        <v>0</v>
      </c>
      <c r="Q98" s="7">
        <f>IFERROR(+Q94-#REF!, 0)</f>
        <v>0</v>
      </c>
    </row>
    <row r="99" spans="1:17" ht="15.75" thickTop="1" x14ac:dyDescent="0.25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8">IFERROR(SUM(D98:D101), 0)</f>
        <v>0</v>
      </c>
      <c r="E102" s="7">
        <f t="shared" si="8"/>
        <v>0</v>
      </c>
      <c r="F102" s="7">
        <f t="shared" si="8"/>
        <v>0</v>
      </c>
      <c r="G102" s="7">
        <f t="shared" si="8"/>
        <v>0</v>
      </c>
      <c r="H102" s="7">
        <f t="shared" si="8"/>
        <v>0</v>
      </c>
      <c r="I102" s="7">
        <f t="shared" si="8"/>
        <v>0</v>
      </c>
      <c r="J102" s="7">
        <f t="shared" si="8"/>
        <v>0</v>
      </c>
      <c r="K102" s="7">
        <f t="shared" si="8"/>
        <v>0</v>
      </c>
      <c r="L102" s="7">
        <f t="shared" si="8"/>
        <v>0</v>
      </c>
      <c r="M102" s="7">
        <f t="shared" si="8"/>
        <v>0</v>
      </c>
      <c r="N102" s="7">
        <f t="shared" si="8"/>
        <v>0</v>
      </c>
      <c r="O102" s="7">
        <f t="shared" si="8"/>
        <v>0</v>
      </c>
      <c r="Q102" s="7">
        <f>IFERROR(SUM(Q98:Q101), 0)</f>
        <v>0</v>
      </c>
    </row>
    <row r="103" spans="1:17" ht="15.75" thickTop="1" x14ac:dyDescent="0.25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25">
      <c r="A104" s="5"/>
      <c r="B104" s="27">
        <v>44330.012667280091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A105" s="5"/>
      <c r="B105" s="31" t="s">
        <v>54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26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31956.86</v>
      </c>
      <c r="E17" s="14">
        <f>SUM(OSRRefD20x_1)</f>
        <v>46373.01</v>
      </c>
      <c r="F17" s="14">
        <f>SUM(OSRRefD20x_2)</f>
        <v>31927.71</v>
      </c>
      <c r="G17" s="14">
        <f>SUM(OSRRefD20x_3)</f>
        <v>44751.53</v>
      </c>
      <c r="H17" s="14">
        <f>SUM(OSRRefD20x_4)</f>
        <v>-368849.51000000007</v>
      </c>
      <c r="I17" s="14">
        <f>SUM(OSRRefD20x_5)</f>
        <v>30640.19</v>
      </c>
      <c r="J17" s="14">
        <f>SUM(OSRRefD20x_6)</f>
        <v>43572.520000000004</v>
      </c>
      <c r="K17" s="14">
        <f>SUM(OSRRefD20x_7)</f>
        <v>28807.309999999998</v>
      </c>
      <c r="L17" s="14">
        <f>SUM(OSRRefD20x_8)</f>
        <v>28743.11</v>
      </c>
      <c r="M17" s="14">
        <f>SUM(OSRRefD20x_9)</f>
        <v>43971.69</v>
      </c>
      <c r="N17" s="14">
        <f>SUM(OSRRefE20x_0)</f>
        <v>34137</v>
      </c>
      <c r="O17" s="14">
        <f>SUM(OSRRefE20x_1)</f>
        <v>35137</v>
      </c>
      <c r="Q17" s="14">
        <f>SUM(OSRRefG20x)</f>
        <v>31168.419999999973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30249.09</v>
      </c>
      <c r="E18" s="1">
        <f>SUM(OSRRefD21_0x_1)</f>
        <v>30426.25</v>
      </c>
      <c r="F18" s="1">
        <f>SUM(OSRRefD21_0x_2)</f>
        <v>31087.67</v>
      </c>
      <c r="G18" s="1">
        <f>SUM(OSRRefD21_0x_3)</f>
        <v>30642.67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SUM(OSRRefD21_0x_7)</f>
        <v>28124.68</v>
      </c>
      <c r="L18" s="1">
        <f>SUM(OSRRefD21_0x_8)</f>
        <v>28050.7</v>
      </c>
      <c r="M18" s="1">
        <f>SUM(OSRRefD21_0x_9)</f>
        <v>28198.66</v>
      </c>
      <c r="N18" s="1">
        <f>SUM(OSRRefE21_0x_0)</f>
        <v>32000</v>
      </c>
      <c r="O18" s="1">
        <f>SUM(OSRRefE21_0x_1)</f>
        <v>32000</v>
      </c>
      <c r="Q18" s="2">
        <f>SUM(OSRRefD20_0x)+IFERROR(SUM(OSRRefE20_0x),0)</f>
        <v>-40818.560000000027</v>
      </c>
    </row>
    <row r="19" spans="1:17" s="34" customFormat="1" hidden="1" outlineLevel="1" x14ac:dyDescent="0.25">
      <c r="A19" s="35"/>
      <c r="B19" s="10" t="str">
        <f>CONCATENATE("          ","6120", " - ","RETIREES HEALTH INSURANCE")</f>
        <v xml:space="preserve">          6120 - RETIREES HEALTH INSURANCE</v>
      </c>
      <c r="C19" s="11"/>
      <c r="D19" s="2">
        <v>30249.09</v>
      </c>
      <c r="E19" s="2">
        <v>30426.25</v>
      </c>
      <c r="F19" s="2">
        <v>31087.67</v>
      </c>
      <c r="G19" s="2">
        <v>30642.67</v>
      </c>
      <c r="H19" s="2">
        <v>-369662.33</v>
      </c>
      <c r="I19" s="2">
        <v>29918.37</v>
      </c>
      <c r="J19" s="2">
        <v>28145.68</v>
      </c>
      <c r="K19" s="2">
        <v>28124.68</v>
      </c>
      <c r="L19" s="2">
        <v>28050.7</v>
      </c>
      <c r="M19" s="2">
        <v>28198.66</v>
      </c>
      <c r="N19" s="2">
        <v>32000</v>
      </c>
      <c r="O19" s="2">
        <v>32000</v>
      </c>
      <c r="P19" s="9"/>
      <c r="Q19" s="2">
        <f>SUM(OSRRefD21_0_0x)+IFERROR(SUM(OSRRefE21_0_0x),0)</f>
        <v>-40818.560000000027</v>
      </c>
    </row>
    <row r="20" spans="1:17" s="34" customFormat="1" collapsed="1" x14ac:dyDescent="0.25">
      <c r="A20" s="35"/>
      <c r="B20" s="11" t="str">
        <f>CONCATENATE("     ","Bank/card Fees                                    ")</f>
        <v xml:space="preserve">     Bank/card Fees                                    </v>
      </c>
      <c r="C20" s="11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SUM(OSRRefD21_1x_6)</f>
        <v>2078.09</v>
      </c>
      <c r="K20" s="1">
        <f>SUM(OSRRefD21_1x_7)</f>
        <v>135.87</v>
      </c>
      <c r="L20" s="1">
        <f>SUM(OSRRefD21_1x_8)</f>
        <v>7</v>
      </c>
      <c r="M20" s="1">
        <f>SUM(OSRRefD21_1x_9)</f>
        <v>1863.53</v>
      </c>
      <c r="N20" s="1">
        <f>SUM(OSRRefE21_1x_0)</f>
        <v>1000</v>
      </c>
      <c r="O20" s="1">
        <f>SUM(OSRRefE21_1x_1)</f>
        <v>2000</v>
      </c>
      <c r="Q20" s="2">
        <f>SUM(OSRRefD20_1x)+IFERROR(SUM(OSRRefE20_1x),0)</f>
        <v>9989.07</v>
      </c>
    </row>
    <row r="21" spans="1:17" s="34" customFormat="1" hidden="1" outlineLevel="1" x14ac:dyDescent="0.25">
      <c r="A21" s="35"/>
      <c r="B21" s="10" t="str">
        <f>CONCATENATE("          ","6381", " - ","BANK/CREDIT CARD FEES")</f>
        <v xml:space="preserve">          6381 - BANK/CREDIT CARD FEES</v>
      </c>
      <c r="C21" s="11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2078.09</v>
      </c>
      <c r="K21" s="2">
        <v>135.87</v>
      </c>
      <c r="L21" s="2">
        <v>7</v>
      </c>
      <c r="M21" s="2">
        <v>1863.53</v>
      </c>
      <c r="N21" s="2">
        <v>1000</v>
      </c>
      <c r="O21" s="2">
        <v>2000</v>
      </c>
      <c r="P21" s="9"/>
      <c r="Q21" s="2">
        <f>SUM(OSRRefD21_1_0x)+IFERROR(SUM(OSRRefE21_1_0x),0)</f>
        <v>9989.07</v>
      </c>
    </row>
    <row r="22" spans="1:17" s="34" customFormat="1" collapsed="1" x14ac:dyDescent="0.25">
      <c r="A22" s="35"/>
      <c r="B22" s="11" t="str">
        <f>CONCATENATE("     ","Board                                             ")</f>
        <v xml:space="preserve">     Board                                             </v>
      </c>
      <c r="C22" s="11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SUM(OSRRefD21_2x_6)</f>
        <v>1763</v>
      </c>
      <c r="K22" s="1">
        <f>SUM(OSRRefD21_2x_7)</f>
        <v>546.76</v>
      </c>
      <c r="L22" s="1">
        <f>SUM(OSRRefD21_2x_8)</f>
        <v>685.41</v>
      </c>
      <c r="M22" s="1">
        <f>SUM(OSRRefD21_2x_9)</f>
        <v>2323.75</v>
      </c>
      <c r="N22" s="1">
        <f>SUM(OSRRefE21_2x_0)</f>
        <v>1137</v>
      </c>
      <c r="O22" s="1">
        <f>SUM(OSRRefE21_2x_1)</f>
        <v>1137</v>
      </c>
      <c r="Q22" s="2">
        <f>SUM(OSRRefD20_2x)+IFERROR(SUM(OSRRefE20_2x),0)</f>
        <v>15429.91</v>
      </c>
    </row>
    <row r="23" spans="1:17" s="34" customFormat="1" hidden="1" outlineLevel="1" x14ac:dyDescent="0.25">
      <c r="A23" s="35"/>
      <c r="B23" s="10" t="str">
        <f>CONCATENATE("          ","6397", " - ","BOARD EXPENSES")</f>
        <v xml:space="preserve">          6397 - BOARD EXPENSES</v>
      </c>
      <c r="C23" s="11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1763</v>
      </c>
      <c r="K23" s="2">
        <v>546.76</v>
      </c>
      <c r="L23" s="2">
        <v>685.41</v>
      </c>
      <c r="M23" s="2">
        <v>2323.75</v>
      </c>
      <c r="N23" s="2">
        <v>1137</v>
      </c>
      <c r="O23" s="2">
        <v>1137</v>
      </c>
      <c r="P23" s="9"/>
      <c r="Q23" s="2">
        <f>SUM(OSRRefD21_2_0x)+IFERROR(SUM(OSRRefE21_2_0x),0)</f>
        <v>15429.91</v>
      </c>
    </row>
    <row r="24" spans="1:17" s="34" customFormat="1" collapsed="1" x14ac:dyDescent="0.25">
      <c r="A24" s="35"/>
      <c r="B24" s="11" t="str">
        <f>CONCATENATE("     ","Professional Services                             ")</f>
        <v xml:space="preserve">     Professional Services                             </v>
      </c>
      <c r="C24" s="11"/>
      <c r="D24" s="1">
        <f>SUM(OSRRefD21_3x_0)</f>
        <v>0</v>
      </c>
      <c r="E24" s="1">
        <f>SUM(OSRRefD21_3x_1)</f>
        <v>11585.75</v>
      </c>
      <c r="F24" s="1">
        <f>SUM(OSRRefD21_3x_2)</f>
        <v>0</v>
      </c>
      <c r="G24" s="1">
        <f>SUM(OSRRefD21_3x_3)</f>
        <v>11585.75</v>
      </c>
      <c r="H24" s="1">
        <f>SUM(OSRRefD21_3x_4)</f>
        <v>225</v>
      </c>
      <c r="I24" s="1">
        <f>SUM(OSRRefD21_3x_5)</f>
        <v>0</v>
      </c>
      <c r="J24" s="1">
        <f>SUM(OSRRefD21_3x_6)</f>
        <v>11585.75</v>
      </c>
      <c r="K24" s="1">
        <f>SUM(OSRRefD21_3x_7)</f>
        <v>0</v>
      </c>
      <c r="L24" s="1">
        <f>SUM(OSRRefD21_3x_8)</f>
        <v>0</v>
      </c>
      <c r="M24" s="1">
        <f>SUM(OSRRefD21_3x_9)</f>
        <v>11585.75</v>
      </c>
      <c r="N24" s="1">
        <f>SUM(OSRRefE21_3x_0)</f>
        <v>0</v>
      </c>
      <c r="O24" s="1">
        <f>SUM(OSRRefE21_3x_1)</f>
        <v>0</v>
      </c>
      <c r="Q24" s="2">
        <f>SUM(OSRRefD20_3x)+IFERROR(SUM(OSRRefE20_3x),0)</f>
        <v>46568</v>
      </c>
    </row>
    <row r="25" spans="1:17" s="34" customFormat="1" hidden="1" outlineLevel="1" x14ac:dyDescent="0.25">
      <c r="A25" s="35"/>
      <c r="B25" s="10" t="str">
        <f>CONCATENATE("          ","6331", " - ","INDIRECT COSTS-AUXILIARY ORGAN")</f>
        <v xml:space="preserve">          6331 - INDIRECT COSTS-AUXILIARY ORGAN</v>
      </c>
      <c r="C25" s="11"/>
      <c r="D25" s="2"/>
      <c r="E25" s="2">
        <v>11585.75</v>
      </c>
      <c r="F25" s="2"/>
      <c r="G25" s="2">
        <v>11585.75</v>
      </c>
      <c r="H25" s="2">
        <v>225</v>
      </c>
      <c r="I25" s="2"/>
      <c r="J25" s="2">
        <v>11585.75</v>
      </c>
      <c r="K25" s="2"/>
      <c r="L25" s="2"/>
      <c r="M25" s="2">
        <v>11585.75</v>
      </c>
      <c r="N25" s="2"/>
      <c r="O25" s="2"/>
      <c r="P25" s="9"/>
      <c r="Q25" s="2">
        <f>SUM(OSRRefD21_3_0x)+IFERROR(SUM(OSRRefE21_3_0x),0)</f>
        <v>46568</v>
      </c>
    </row>
    <row r="26" spans="1:17" s="34" customFormat="1" hidden="1" outlineLevel="1" x14ac:dyDescent="0.25">
      <c r="A26" s="35"/>
      <c r="B26" s="10" t="str">
        <f>CONCATENATE("          ","6332", " - ","CONSULTANT FEES")</f>
        <v xml:space="preserve">          6332 - CONSULTANT FEES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SUM(OSRRefD21_3_1x)+IFERROR(SUM(OSRRefE21_3_1x),0)</f>
        <v>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3"/>
      <c r="B28" s="16" t="s">
        <v>291</v>
      </c>
      <c r="C28" s="22"/>
      <c r="D28" s="3">
        <f t="shared" ref="D28:M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>
        <f t="shared" si="4"/>
        <v>0</v>
      </c>
      <c r="L28" s="3">
        <f t="shared" si="4"/>
        <v>0</v>
      </c>
      <c r="M28" s="3">
        <f t="shared" si="4"/>
        <v>0</v>
      </c>
      <c r="N28" s="3"/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274</v>
      </c>
      <c r="C30" s="17"/>
      <c r="D30" s="8">
        <f t="shared" ref="D30:O30" si="5">IFERROR(+D14-D17+D28, 0)</f>
        <v>-31956.86</v>
      </c>
      <c r="E30" s="8">
        <f t="shared" si="5"/>
        <v>-46373.01</v>
      </c>
      <c r="F30" s="8">
        <f t="shared" si="5"/>
        <v>-31927.71</v>
      </c>
      <c r="G30" s="8">
        <f t="shared" si="5"/>
        <v>-44751.53</v>
      </c>
      <c r="H30" s="8">
        <f t="shared" si="5"/>
        <v>368849.51000000007</v>
      </c>
      <c r="I30" s="8">
        <f t="shared" si="5"/>
        <v>-30640.19</v>
      </c>
      <c r="J30" s="8">
        <f t="shared" si="5"/>
        <v>-43572.520000000004</v>
      </c>
      <c r="K30" s="8">
        <f t="shared" si="5"/>
        <v>-28807.309999999998</v>
      </c>
      <c r="L30" s="8">
        <f t="shared" si="5"/>
        <v>-28743.11</v>
      </c>
      <c r="M30" s="8">
        <f t="shared" si="5"/>
        <v>-43971.69</v>
      </c>
      <c r="N30" s="8">
        <f t="shared" si="5"/>
        <v>-34137</v>
      </c>
      <c r="O30" s="8">
        <f t="shared" si="5"/>
        <v>-35137</v>
      </c>
      <c r="Q30" s="8">
        <f>IFERROR(+Q14-Q17+Q28, 0)</f>
        <v>-31168.419999999973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7">
        <f t="shared" ref="D35:O35" si="7">IFERROR(+D30-D33, 0)</f>
        <v>-31956.86</v>
      </c>
      <c r="E35" s="7">
        <f t="shared" si="7"/>
        <v>-46373.01</v>
      </c>
      <c r="F35" s="7">
        <f t="shared" si="7"/>
        <v>-31927.71</v>
      </c>
      <c r="G35" s="7">
        <f t="shared" si="7"/>
        <v>-44751.53</v>
      </c>
      <c r="H35" s="7">
        <f t="shared" si="7"/>
        <v>368849.51000000007</v>
      </c>
      <c r="I35" s="7">
        <f t="shared" si="7"/>
        <v>-30640.19</v>
      </c>
      <c r="J35" s="7">
        <f t="shared" si="7"/>
        <v>-43572.520000000004</v>
      </c>
      <c r="K35" s="7">
        <f t="shared" si="7"/>
        <v>-28807.309999999998</v>
      </c>
      <c r="L35" s="7">
        <f t="shared" si="7"/>
        <v>-28743.11</v>
      </c>
      <c r="M35" s="7">
        <f t="shared" si="7"/>
        <v>-43971.69</v>
      </c>
      <c r="N35" s="7">
        <f t="shared" si="7"/>
        <v>-34137</v>
      </c>
      <c r="O35" s="7">
        <f t="shared" si="7"/>
        <v>-35137</v>
      </c>
      <c r="Q35" s="7">
        <f>IFERROR(+Q30-Q33, 0)</f>
        <v>-31168.419999999973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292</v>
      </c>
      <c r="C39" s="17"/>
      <c r="D39" s="7">
        <f t="shared" ref="D39:O39" si="9">IFERROR(SUM(D35:D38), 0)</f>
        <v>-31956.86</v>
      </c>
      <c r="E39" s="7">
        <f t="shared" si="9"/>
        <v>-46373.01</v>
      </c>
      <c r="F39" s="7">
        <f t="shared" si="9"/>
        <v>-31927.71</v>
      </c>
      <c r="G39" s="7">
        <f t="shared" si="9"/>
        <v>-44751.53</v>
      </c>
      <c r="H39" s="7">
        <f t="shared" si="9"/>
        <v>368849.51000000007</v>
      </c>
      <c r="I39" s="7">
        <f t="shared" si="9"/>
        <v>-30640.19</v>
      </c>
      <c r="J39" s="7">
        <f t="shared" si="9"/>
        <v>-43572.520000000004</v>
      </c>
      <c r="K39" s="7">
        <f t="shared" si="9"/>
        <v>-28807.309999999998</v>
      </c>
      <c r="L39" s="7">
        <f t="shared" si="9"/>
        <v>-28743.11</v>
      </c>
      <c r="M39" s="7">
        <f t="shared" si="9"/>
        <v>-43971.69</v>
      </c>
      <c r="N39" s="7">
        <f t="shared" si="9"/>
        <v>-34137</v>
      </c>
      <c r="O39" s="7">
        <f t="shared" si="9"/>
        <v>-35137</v>
      </c>
      <c r="Q39" s="7">
        <f>IFERROR(SUM(Q35:Q38), 0)</f>
        <v>-31168.419999999973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27">
        <v>44330.012769791669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31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26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35660.750000000007</v>
      </c>
      <c r="E17" s="14">
        <f>SUM(OSRRefD20x_1)</f>
        <v>31265.52</v>
      </c>
      <c r="F17" s="14">
        <f>SUM(OSRRefD20x_2)</f>
        <v>40329.990000000005</v>
      </c>
      <c r="G17" s="14">
        <f>SUM(OSRRefD20x_3)</f>
        <v>35310.559999999998</v>
      </c>
      <c r="H17" s="14">
        <f>SUM(OSRRefD20x_4)</f>
        <v>45348.319999999992</v>
      </c>
      <c r="I17" s="14">
        <f>SUM(OSRRefD20x_5)</f>
        <v>43823.630000000005</v>
      </c>
      <c r="J17" s="14">
        <f>SUM(OSRRefD20x_6)</f>
        <v>36488.950000000004</v>
      </c>
      <c r="K17" s="14">
        <f>SUM(OSRRefD20x_7)</f>
        <v>30894.16</v>
      </c>
      <c r="L17" s="14">
        <f>SUM(OSRRefD20x_8)</f>
        <v>33993.58</v>
      </c>
      <c r="M17" s="14">
        <f>SUM(OSRRefD20x_9)</f>
        <v>46371.58</v>
      </c>
      <c r="N17" s="14">
        <f>SUM(OSRRefE20x_0)</f>
        <v>51514.793846153872</v>
      </c>
      <c r="O17" s="14">
        <f>SUM(OSRRefE20x_1)</f>
        <v>52806.793846153872</v>
      </c>
      <c r="Q17" s="14">
        <f>SUM(OSRRefG20x)</f>
        <v>483808.62769230769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SUM(OSRRefD21_0x_7)</f>
        <v>10048.529999999999</v>
      </c>
      <c r="L18" s="1">
        <f>SUM(OSRRefD21_0x_8)</f>
        <v>10085.009999999998</v>
      </c>
      <c r="M18" s="1">
        <f>SUM(OSRRefD21_0x_9)</f>
        <v>12083.72</v>
      </c>
      <c r="N18" s="1">
        <f>SUM(OSRRefE21_0x_0)</f>
        <v>13202.64</v>
      </c>
      <c r="O18" s="1">
        <f>SUM(OSRRefE21_0x_1)</f>
        <v>13202.64</v>
      </c>
      <c r="Q18" s="2">
        <f>SUM(OSRRefD20_0x)+IFERROR(SUM(OSRRefE20_0x),0)</f>
        <v>134824.53999999998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1454.4</v>
      </c>
      <c r="L19" s="2">
        <v>1454.4</v>
      </c>
      <c r="M19" s="2">
        <v>2184.4699999999998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18373.490769230761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62.74</v>
      </c>
      <c r="L20" s="2">
        <v>62.74</v>
      </c>
      <c r="M20" s="2">
        <v>62.74</v>
      </c>
      <c r="N20" s="2">
        <v>107.630769230769</v>
      </c>
      <c r="O20" s="2">
        <v>107.630769230769</v>
      </c>
      <c r="P20" s="9"/>
      <c r="Q20" s="2">
        <f>SUM(OSRRefD21_0_1x)+IFERROR(SUM(OSRRefE21_0_1x),0)</f>
        <v>972.07153846153801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3917.15</v>
      </c>
      <c r="L21" s="2">
        <v>3917.15</v>
      </c>
      <c r="M21" s="2">
        <v>3917.15</v>
      </c>
      <c r="N21" s="2">
        <v>4750</v>
      </c>
      <c r="O21" s="2">
        <v>4750</v>
      </c>
      <c r="P21" s="9"/>
      <c r="Q21" s="2">
        <f>SUM(OSRRefD21_0_2x)+IFERROR(SUM(OSRRefE21_0_2x),0)</f>
        <v>49382.520000000004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49.43</v>
      </c>
      <c r="L22" s="2">
        <v>49.43</v>
      </c>
      <c r="M22" s="2">
        <v>49.43</v>
      </c>
      <c r="N22" s="2">
        <v>84.8</v>
      </c>
      <c r="O22" s="2">
        <v>84.8</v>
      </c>
      <c r="P22" s="9"/>
      <c r="Q22" s="2">
        <f>SUM(OSRRefD21_0_3x)+IFERROR(SUM(OSRRefE21_0_3x),0)</f>
        <v>765.88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2049.0300000000002</v>
      </c>
      <c r="L23" s="2">
        <v>2049.0300000000002</v>
      </c>
      <c r="M23" s="2">
        <v>2049.0300000000002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31324.496153846154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1658.98</v>
      </c>
      <c r="K25" s="2">
        <v>1658.98</v>
      </c>
      <c r="L25" s="2">
        <v>1658.98</v>
      </c>
      <c r="M25" s="2">
        <v>2488.4699999999998</v>
      </c>
      <c r="N25" s="2">
        <v>1630.76923076923</v>
      </c>
      <c r="O25" s="2">
        <v>1630.76923076923</v>
      </c>
      <c r="P25" s="9"/>
      <c r="Q25" s="2">
        <f>SUM(OSRRefD21_0_6x)+IFERROR(SUM(OSRRefE21_0_6x),0)</f>
        <v>21510.31846153846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856.8</v>
      </c>
      <c r="K26" s="2">
        <v>856.8</v>
      </c>
      <c r="L26" s="2">
        <v>856.8</v>
      </c>
      <c r="M26" s="2">
        <v>1285.2</v>
      </c>
      <c r="N26" s="2">
        <v>978.46153846153902</v>
      </c>
      <c r="O26" s="2">
        <v>978.46153846153902</v>
      </c>
      <c r="P26" s="9"/>
      <c r="Q26" s="2">
        <f>SUM(OSRRefD21_0_7x)+IFERROR(SUM(OSRRefE21_0_7x),0)</f>
        <v>11381.723076923079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/>
      <c r="K27" s="2"/>
      <c r="L27" s="2">
        <v>36.479999999999997</v>
      </c>
      <c r="M27" s="2">
        <v>47.23</v>
      </c>
      <c r="N27" s="2">
        <v>350</v>
      </c>
      <c r="O27" s="2">
        <v>350</v>
      </c>
      <c r="P27" s="9"/>
      <c r="Q27" s="2">
        <f>SUM(OSRRefD21_0_8x)+IFERROR(SUM(OSRRefE21_0_8x),0)</f>
        <v>1114.04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SUM(OSRRefD21_1x_6)</f>
        <v>22286.959999999999</v>
      </c>
      <c r="K28" s="1">
        <f>SUM(OSRRefD21_1x_7)</f>
        <v>19111.760000000002</v>
      </c>
      <c r="L28" s="1">
        <f>SUM(OSRRefD21_1x_8)</f>
        <v>18866.940000000002</v>
      </c>
      <c r="M28" s="1">
        <f>SUM(OSRRefD21_1x_9)</f>
        <v>22003.08</v>
      </c>
      <c r="N28" s="1">
        <f>SUM(OSRRefE21_1x_0)</f>
        <v>30006.153846153869</v>
      </c>
      <c r="O28" s="1">
        <f>SUM(OSRRefE21_1x_1)</f>
        <v>30006.153846153869</v>
      </c>
      <c r="Q28" s="2">
        <f>SUM(OSRRefD20_1x)+IFERROR(SUM(OSRRefE20_1x),0)</f>
        <v>210980.79769230774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17635.28</v>
      </c>
      <c r="K29" s="2">
        <v>14215.28</v>
      </c>
      <c r="L29" s="2">
        <v>14215.28</v>
      </c>
      <c r="M29" s="2">
        <v>17106.48</v>
      </c>
      <c r="N29" s="2">
        <v>25476.9230769231</v>
      </c>
      <c r="O29" s="2">
        <v>25476.9230769231</v>
      </c>
      <c r="P29" s="9"/>
      <c r="Q29" s="2">
        <f>SUM(OSRRefD21_1_0x)+IFERROR(SUM(OSRRefE21_1_0x),0)</f>
        <v>201250.41615384619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4651.68</v>
      </c>
      <c r="K30" s="2">
        <v>4896.4799999999996</v>
      </c>
      <c r="L30" s="2">
        <v>4651.66</v>
      </c>
      <c r="M30" s="2">
        <v>4896.6000000000004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54687.671538461538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>
        <v>-44957.29</v>
      </c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106.3</v>
      </c>
      <c r="N39" s="1">
        <f>SUM(OSRRefE21_2x_0)</f>
        <v>500</v>
      </c>
      <c r="O39" s="1">
        <f>SUM(OSRRefE21_2x_1)</f>
        <v>500</v>
      </c>
      <c r="Q39" s="2">
        <f>SUM(OSRRefD20_2x)+IFERROR(SUM(OSRRefE20_2x),0)</f>
        <v>1173.0999999999999</v>
      </c>
    </row>
    <row r="40" spans="1:17" s="34" customFormat="1" hidden="1" outlineLevel="1" x14ac:dyDescent="0.25">
      <c r="A40" s="35"/>
      <c r="B40" s="10" t="str">
        <f>CONCATENATE("          ","6362", " - ","ADVERTISING EXPENSE")</f>
        <v xml:space="preserve">          6362 - ADVERTISING EXPENSE</v>
      </c>
      <c r="C40" s="11"/>
      <c r="D40" s="2">
        <v>58.38</v>
      </c>
      <c r="E40" s="2">
        <v>3.47</v>
      </c>
      <c r="F40" s="2">
        <v>4.95</v>
      </c>
      <c r="G40" s="2"/>
      <c r="H40" s="2"/>
      <c r="I40" s="2"/>
      <c r="J40" s="2"/>
      <c r="K40" s="2"/>
      <c r="L40" s="2"/>
      <c r="M40" s="2">
        <v>106.3</v>
      </c>
      <c r="N40" s="2">
        <v>500</v>
      </c>
      <c r="O40" s="2">
        <v>500</v>
      </c>
      <c r="P40" s="9"/>
      <c r="Q40" s="2">
        <f>SUM(OSRRefD21_2_0x)+IFERROR(SUM(OSRRefE21_2_0x),0)</f>
        <v>1173.0999999999999</v>
      </c>
    </row>
    <row r="41" spans="1:17" s="34" customFormat="1" collapsed="1" x14ac:dyDescent="0.25">
      <c r="A41" s="35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SUM(OSRRefD21_3x_7)</f>
        <v>314.87</v>
      </c>
      <c r="L41" s="1">
        <f>SUM(OSRRefD21_3x_8)</f>
        <v>314.87</v>
      </c>
      <c r="M41" s="1">
        <f>SUM(OSRRefD21_3x_9)</f>
        <v>314.87</v>
      </c>
      <c r="N41" s="1">
        <f>SUM(OSRRefE21_3x_0)</f>
        <v>315</v>
      </c>
      <c r="O41" s="1">
        <f>SUM(OSRRefE21_3x_1)</f>
        <v>313</v>
      </c>
      <c r="Q41" s="2">
        <f>SUM(OSRRefD20_3x)+IFERROR(SUM(OSRRefE20_3x),0)</f>
        <v>3776.6999999999994</v>
      </c>
    </row>
    <row r="42" spans="1:17" s="34" customFormat="1" hidden="1" outlineLevel="1" x14ac:dyDescent="0.25">
      <c r="A42" s="35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314.87</v>
      </c>
      <c r="L42" s="2">
        <v>314.87</v>
      </c>
      <c r="M42" s="2">
        <v>314.87</v>
      </c>
      <c r="N42" s="2">
        <v>315</v>
      </c>
      <c r="O42" s="2">
        <v>313</v>
      </c>
      <c r="P42" s="9"/>
      <c r="Q42" s="2">
        <f>SUM(OSRRefD21_3_0x)+IFERROR(SUM(OSRRefE21_3_0x),0)</f>
        <v>3776.6999999999994</v>
      </c>
    </row>
    <row r="43" spans="1:17" s="34" customFormat="1" collapsed="1" x14ac:dyDescent="0.25">
      <c r="A43" s="35"/>
      <c r="B43" s="11" t="str">
        <f>CONCATENATE("     ","Donations                                         ")</f>
        <v xml:space="preserve">     Donations             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1500</v>
      </c>
      <c r="N43" s="1">
        <f>SUM(OSRRefE21_4x_0)</f>
        <v>1000</v>
      </c>
      <c r="O43" s="1">
        <f>SUM(OSRRefE21_4x_1)</f>
        <v>1000</v>
      </c>
      <c r="Q43" s="2">
        <f>SUM(OSRRefD20_4x)+IFERROR(SUM(OSRRefE20_4x),0)</f>
        <v>28500</v>
      </c>
    </row>
    <row r="44" spans="1:17" s="34" customFormat="1" hidden="1" outlineLevel="1" x14ac:dyDescent="0.25">
      <c r="A44" s="35"/>
      <c r="B44" s="10" t="str">
        <f>CONCATENATE("          ","6399", " - ","DONATION-ON CAMPUS")</f>
        <v xml:space="preserve">          6399 - DONATION-ON CAMPUS</v>
      </c>
      <c r="C44" s="11"/>
      <c r="D44" s="2"/>
      <c r="E44" s="2"/>
      <c r="F44" s="2"/>
      <c r="G44" s="2">
        <v>25000</v>
      </c>
      <c r="H44" s="2"/>
      <c r="I44" s="2"/>
      <c r="J44" s="2"/>
      <c r="K44" s="2"/>
      <c r="L44" s="2"/>
      <c r="M44" s="2">
        <v>1500</v>
      </c>
      <c r="N44" s="2">
        <v>1000</v>
      </c>
      <c r="O44" s="2">
        <v>1000</v>
      </c>
      <c r="P44" s="9"/>
      <c r="Q44" s="2">
        <f>SUM(OSRRefD21_4_0x)+IFERROR(SUM(OSRRefE21_4_0x),0)</f>
        <v>28500</v>
      </c>
    </row>
    <row r="45" spans="1:17" s="34" customFormat="1" collapsed="1" x14ac:dyDescent="0.25">
      <c r="A45" s="35"/>
      <c r="B45" s="11" t="str">
        <f>CONCATENATE("     ","Employees' Appreciation                           ")</f>
        <v xml:space="preserve">     Employees' Appreciation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SUM(OSRRefD21_5x_9)</f>
        <v>0</v>
      </c>
      <c r="N45" s="1">
        <f>SUM(OSRRefE21_5x_0)</f>
        <v>0</v>
      </c>
      <c r="O45" s="1">
        <f>SUM(OSRRefE21_5x_1)</f>
        <v>1000</v>
      </c>
      <c r="Q45" s="2">
        <f>SUM(OSRRefD20_5x)+IFERROR(SUM(OSRRefE20_5x),0)</f>
        <v>1000</v>
      </c>
    </row>
    <row r="46" spans="1:17" s="34" customFormat="1" hidden="1" outlineLevel="1" x14ac:dyDescent="0.25">
      <c r="A46" s="35"/>
      <c r="B46" s="10" t="str">
        <f>CONCATENATE("          ","6277", " - ","EMPLOYEE APPRECIATION")</f>
        <v xml:space="preserve">          6277 - EMPLOYEE APPRECIATION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1000</v>
      </c>
      <c r="P46" s="9"/>
      <c r="Q46" s="2">
        <f>SUM(OSRRefD21_5_0x)+IFERROR(SUM(OSRRefE21_5_0x),0)</f>
        <v>1000</v>
      </c>
    </row>
    <row r="47" spans="1:17" s="34" customFormat="1" collapsed="1" x14ac:dyDescent="0.25">
      <c r="A47" s="35"/>
      <c r="B47" s="11" t="str">
        <f>CONCATENATE("     ","Equipment Rental                                  ")</f>
        <v xml:space="preserve">     Equipment Rental                                  </v>
      </c>
      <c r="C47" s="11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SUM(OSRRefD21_6x_6)</f>
        <v>117.71</v>
      </c>
      <c r="K47" s="1">
        <f>SUM(OSRRefD21_6x_7)</f>
        <v>117.71</v>
      </c>
      <c r="L47" s="1">
        <f>SUM(OSRRefD21_6x_8)</f>
        <v>208.97</v>
      </c>
      <c r="M47" s="1">
        <f>SUM(OSRRefD21_6x_9)</f>
        <v>117.71</v>
      </c>
      <c r="N47" s="1">
        <f>SUM(OSRRefE21_6x_0)</f>
        <v>118</v>
      </c>
      <c r="O47" s="1">
        <f>SUM(OSRRefE21_6x_1)</f>
        <v>118</v>
      </c>
      <c r="Q47" s="2">
        <f>SUM(OSRRefD20_6x)+IFERROR(SUM(OSRRefE20_6x),0)</f>
        <v>1504.3600000000001</v>
      </c>
    </row>
    <row r="48" spans="1:17" s="34" customFormat="1" hidden="1" outlineLevel="1" x14ac:dyDescent="0.25">
      <c r="A48" s="35"/>
      <c r="B48" s="10" t="str">
        <f>CONCATENATE("          ","6351", " - ","EQUIPMENT RENTAL")</f>
        <v xml:space="preserve">          6351 - EQUIPMENT RENTAL</v>
      </c>
      <c r="C48" s="11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117.71</v>
      </c>
      <c r="K48" s="2">
        <v>117.71</v>
      </c>
      <c r="L48" s="2">
        <v>208.97</v>
      </c>
      <c r="M48" s="2">
        <v>117.71</v>
      </c>
      <c r="N48" s="2">
        <v>118</v>
      </c>
      <c r="O48" s="2">
        <v>118</v>
      </c>
      <c r="P48" s="9"/>
      <c r="Q48" s="2">
        <f>SUM(OSRRefD21_6_0x)+IFERROR(SUM(OSRRefE21_6_0x),0)</f>
        <v>1504.3600000000001</v>
      </c>
    </row>
    <row r="49" spans="1:17" s="34" customFormat="1" collapsed="1" x14ac:dyDescent="0.25">
      <c r="A49" s="35"/>
      <c r="B49" s="11" t="str">
        <f>CONCATENATE("     ","Freight out/Postage                               ")</f>
        <v xml:space="preserve">     Freight out/Postage                               </v>
      </c>
      <c r="C49" s="11"/>
      <c r="D49" s="1">
        <f>SUM(OSRRefD21_7x_0)</f>
        <v>0</v>
      </c>
      <c r="E49" s="1">
        <f>SUM(OSRRefD21_7x_1)</f>
        <v>0</v>
      </c>
      <c r="F49" s="1">
        <f>SUM(OSRRefD21_7x_2)</f>
        <v>24.78</v>
      </c>
      <c r="G49" s="1">
        <f>SUM(OSRRefD21_7x_3)</f>
        <v>38.78</v>
      </c>
      <c r="H49" s="1">
        <f>SUM(OSRRefD21_7x_4)</f>
        <v>0</v>
      </c>
      <c r="I49" s="1">
        <f>SUM(OSRRefD21_7x_5)</f>
        <v>1.5</v>
      </c>
      <c r="J49" s="1">
        <f>SUM(OSRRefD21_7x_6)</f>
        <v>0</v>
      </c>
      <c r="K49" s="1">
        <f>SUM(OSRRefD21_7x_7)</f>
        <v>0</v>
      </c>
      <c r="L49" s="1">
        <f>SUM(OSRRefD21_7x_8)</f>
        <v>1.53</v>
      </c>
      <c r="M49" s="1">
        <f>SUM(OSRRefD21_7x_9)</f>
        <v>0</v>
      </c>
      <c r="N49" s="1">
        <f>SUM(OSRRefE21_7x_0)</f>
        <v>15</v>
      </c>
      <c r="O49" s="1">
        <f>SUM(OSRRefE21_7x_1)</f>
        <v>15</v>
      </c>
      <c r="Q49" s="2">
        <f>SUM(OSRRefD20_7x)+IFERROR(SUM(OSRRefE20_7x),0)</f>
        <v>96.59</v>
      </c>
    </row>
    <row r="50" spans="1:17" s="34" customFormat="1" hidden="1" outlineLevel="1" x14ac:dyDescent="0.25">
      <c r="A50" s="35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24.78</v>
      </c>
      <c r="G50" s="2">
        <v>38.78</v>
      </c>
      <c r="H50" s="2"/>
      <c r="I50" s="2">
        <v>1.5</v>
      </c>
      <c r="J50" s="2"/>
      <c r="K50" s="2"/>
      <c r="L50" s="2">
        <v>1.53</v>
      </c>
      <c r="M50" s="2"/>
      <c r="N50" s="2">
        <v>15</v>
      </c>
      <c r="O50" s="2">
        <v>15</v>
      </c>
      <c r="P50" s="9"/>
      <c r="Q50" s="2">
        <f>SUM(OSRRefD21_7_0x)+IFERROR(SUM(OSRRefE21_7_0x),0)</f>
        <v>96.59</v>
      </c>
    </row>
    <row r="51" spans="1:17" s="34" customFormat="1" collapsed="1" x14ac:dyDescent="0.25">
      <c r="A51" s="35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SUM(OSRRefD21_8x_0)</f>
        <v>0</v>
      </c>
      <c r="E51" s="1">
        <f>SUM(OSRRefD21_8x_1)</f>
        <v>0</v>
      </c>
      <c r="F51" s="1">
        <f>SUM(OSRRefD21_8x_2)</f>
        <v>0</v>
      </c>
      <c r="G51" s="1">
        <f>SUM(OSRRefD21_8x_3)</f>
        <v>0</v>
      </c>
      <c r="H51" s="1">
        <f>SUM(OSRRefD21_8x_4)</f>
        <v>0</v>
      </c>
      <c r="I51" s="1">
        <f>SUM(OSRRefD21_8x_5)</f>
        <v>0</v>
      </c>
      <c r="J51" s="1">
        <f>SUM(OSRRefD21_8x_6)</f>
        <v>0</v>
      </c>
      <c r="K51" s="1">
        <f>SUM(OSRRefD21_8x_7)</f>
        <v>0</v>
      </c>
      <c r="L51" s="1">
        <f>SUM(OSRRefD21_8x_8)</f>
        <v>0</v>
      </c>
      <c r="M51" s="1">
        <f>SUM(OSRRefD21_8x_9)</f>
        <v>0</v>
      </c>
      <c r="N51" s="1">
        <f>SUM(OSRRefE21_8x_0)</f>
        <v>0</v>
      </c>
      <c r="O51" s="1">
        <f>SUM(OSRRefE21_8x_1)</f>
        <v>1000</v>
      </c>
      <c r="Q51" s="2">
        <f>SUM(OSRRefD20_8x)+IFERROR(SUM(OSRRefE20_8x),0)</f>
        <v>1000</v>
      </c>
    </row>
    <row r="52" spans="1:17" s="34" customFormat="1" hidden="1" outlineLevel="1" x14ac:dyDescent="0.25">
      <c r="A52" s="35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1000</v>
      </c>
      <c r="P52" s="9"/>
      <c r="Q52" s="2">
        <f>SUM(OSRRefD21_8_0x)+IFERROR(SUM(OSRRefE21_8_0x),0)</f>
        <v>1000</v>
      </c>
    </row>
    <row r="53" spans="1:17" s="34" customFormat="1" collapsed="1" x14ac:dyDescent="0.25">
      <c r="A53" s="35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SUM(OSRRefD21_9x_0)</f>
        <v>115.13</v>
      </c>
      <c r="E53" s="1">
        <f>SUM(OSRRefD21_9x_1)</f>
        <v>115.13</v>
      </c>
      <c r="F53" s="1">
        <f>SUM(OSRRefD21_9x_2)</f>
        <v>115.13</v>
      </c>
      <c r="G53" s="1">
        <f>SUM(OSRRefD21_9x_3)</f>
        <v>115.13</v>
      </c>
      <c r="H53" s="1">
        <f>SUM(OSRRefD21_9x_4)</f>
        <v>115.13</v>
      </c>
      <c r="I53" s="1">
        <f>SUM(OSRRefD21_9x_5)</f>
        <v>115.13</v>
      </c>
      <c r="J53" s="1">
        <f>SUM(OSRRefD21_9x_6)</f>
        <v>115.13</v>
      </c>
      <c r="K53" s="1">
        <f>SUM(OSRRefD21_9x_7)</f>
        <v>115.13</v>
      </c>
      <c r="L53" s="1">
        <f>SUM(OSRRefD21_9x_8)</f>
        <v>115.13</v>
      </c>
      <c r="M53" s="1">
        <f>SUM(OSRRefD21_9x_9)</f>
        <v>115.13</v>
      </c>
      <c r="N53" s="1">
        <f>SUM(OSRRefE21_9x_0)</f>
        <v>126</v>
      </c>
      <c r="O53" s="1">
        <f>SUM(OSRRefE21_9x_1)</f>
        <v>126</v>
      </c>
      <c r="Q53" s="2">
        <f>SUM(OSRRefD20_9x)+IFERROR(SUM(OSRRefE20_9x),0)</f>
        <v>1403.3000000000002</v>
      </c>
    </row>
    <row r="54" spans="1:17" s="34" customFormat="1" hidden="1" outlineLevel="1" x14ac:dyDescent="0.25">
      <c r="A54" s="35"/>
      <c r="B54" s="10" t="str">
        <f>CONCATENATE("          ","6314", " - ","LIABILITY INSURANCE")</f>
        <v xml:space="preserve">          6314 - LIABILITY INSURANCE</v>
      </c>
      <c r="C54" s="11"/>
      <c r="D54" s="2">
        <v>115.13</v>
      </c>
      <c r="E54" s="2">
        <v>115.13</v>
      </c>
      <c r="F54" s="2">
        <v>115.13</v>
      </c>
      <c r="G54" s="2">
        <v>115.13</v>
      </c>
      <c r="H54" s="2">
        <v>115.13</v>
      </c>
      <c r="I54" s="2">
        <v>115.13</v>
      </c>
      <c r="J54" s="2">
        <v>115.13</v>
      </c>
      <c r="K54" s="2">
        <v>115.13</v>
      </c>
      <c r="L54" s="2">
        <v>115.13</v>
      </c>
      <c r="M54" s="2">
        <v>115.13</v>
      </c>
      <c r="N54" s="2">
        <v>126</v>
      </c>
      <c r="O54" s="2">
        <v>126</v>
      </c>
      <c r="P54" s="9"/>
      <c r="Q54" s="2">
        <f>SUM(OSRRefD21_9_0x)+IFERROR(SUM(OSRRefE21_9_0x),0)</f>
        <v>1403.3000000000002</v>
      </c>
    </row>
    <row r="55" spans="1:17" s="34" customFormat="1" collapsed="1" x14ac:dyDescent="0.25">
      <c r="A55" s="35"/>
      <c r="B55" s="11" t="str">
        <f>CONCATENATE("     ","Professional Services                             ")</f>
        <v xml:space="preserve">     Professional Services                             </v>
      </c>
      <c r="C55" s="11"/>
      <c r="D55" s="1">
        <f>SUM(OSRRefD21_10x_0)</f>
        <v>100</v>
      </c>
      <c r="E55" s="1">
        <f>SUM(OSRRefD21_10x_1)</f>
        <v>1050</v>
      </c>
      <c r="F55" s="1">
        <f>SUM(OSRRefD21_10x_2)</f>
        <v>8500</v>
      </c>
      <c r="G55" s="1">
        <f>SUM(OSRRefD21_10x_3)</f>
        <v>16280</v>
      </c>
      <c r="H55" s="1">
        <f>SUM(OSRRefD21_10x_4)</f>
        <v>10759.380000000001</v>
      </c>
      <c r="I55" s="1">
        <f>SUM(OSRRefD21_10x_5)</f>
        <v>12964.86</v>
      </c>
      <c r="J55" s="1">
        <f>SUM(OSRRefD21_10x_6)</f>
        <v>0</v>
      </c>
      <c r="K55" s="1">
        <f>SUM(OSRRefD21_10x_7)</f>
        <v>725</v>
      </c>
      <c r="L55" s="1">
        <f>SUM(OSRRefD21_10x_8)</f>
        <v>0</v>
      </c>
      <c r="M55" s="1">
        <f>SUM(OSRRefD21_10x_9)</f>
        <v>0</v>
      </c>
      <c r="N55" s="1">
        <f>SUM(OSRRefE21_10x_0)</f>
        <v>1000</v>
      </c>
      <c r="O55" s="1">
        <f>SUM(OSRRefE21_10x_1)</f>
        <v>0</v>
      </c>
      <c r="Q55" s="2">
        <f>SUM(OSRRefD20_10x)+IFERROR(SUM(OSRRefE20_10x),0)</f>
        <v>51379.240000000005</v>
      </c>
    </row>
    <row r="56" spans="1:17" s="34" customFormat="1" hidden="1" outlineLevel="1" x14ac:dyDescent="0.25">
      <c r="A56" s="35"/>
      <c r="B56" s="10" t="str">
        <f>CONCATENATE("          ","6331", " - ","INDIRECT COSTS-AUXILIARY ORGAN")</f>
        <v xml:space="preserve">          6331 - INDIRECT COSTS-AUXILIARY ORGAN</v>
      </c>
      <c r="C56" s="11"/>
      <c r="D56" s="2"/>
      <c r="E56" s="2"/>
      <c r="F56" s="2">
        <v>8500</v>
      </c>
      <c r="G56" s="2">
        <v>15000</v>
      </c>
      <c r="H56" s="2">
        <v>9500</v>
      </c>
      <c r="I56" s="2">
        <v>12850</v>
      </c>
      <c r="J56" s="2"/>
      <c r="K56" s="2"/>
      <c r="L56" s="2"/>
      <c r="M56" s="2"/>
      <c r="N56" s="2"/>
      <c r="O56" s="2"/>
      <c r="P56" s="9"/>
      <c r="Q56" s="2">
        <f>SUM(OSRRefD21_10_0x)+IFERROR(SUM(OSRRefE21_10_0x),0)</f>
        <v>45850</v>
      </c>
    </row>
    <row r="57" spans="1:17" s="34" customFormat="1" hidden="1" outlineLevel="1" x14ac:dyDescent="0.25">
      <c r="A57" s="35"/>
      <c r="B57" s="10" t="str">
        <f>CONCATENATE("          ","6334", " - ","LEGAL COUNCIL EXPENSE")</f>
        <v xml:space="preserve">          6334 - LEGAL COUNCIL EXPENSE</v>
      </c>
      <c r="C57" s="11"/>
      <c r="D57" s="2">
        <v>100</v>
      </c>
      <c r="E57" s="2">
        <v>1050</v>
      </c>
      <c r="F57" s="2"/>
      <c r="G57" s="2">
        <v>1280</v>
      </c>
      <c r="H57" s="2">
        <v>1259.3800000000001</v>
      </c>
      <c r="I57" s="2">
        <v>114.86</v>
      </c>
      <c r="J57" s="2"/>
      <c r="K57" s="2">
        <v>725</v>
      </c>
      <c r="L57" s="2"/>
      <c r="M57" s="2"/>
      <c r="N57" s="2">
        <v>1000</v>
      </c>
      <c r="O57" s="2"/>
      <c r="P57" s="9"/>
      <c r="Q57" s="2">
        <f>SUM(OSRRefD21_10_1x)+IFERROR(SUM(OSRRefE21_10_1x),0)</f>
        <v>5529.24</v>
      </c>
    </row>
    <row r="58" spans="1:17" s="34" customFormat="1" collapsed="1" x14ac:dyDescent="0.25">
      <c r="A58" s="35"/>
      <c r="B58" s="11" t="str">
        <f>CONCATENATE("     ","Repair and Maintenance                            ")</f>
        <v xml:space="preserve">     Repair and Maintenance                            </v>
      </c>
      <c r="C58" s="11"/>
      <c r="D58" s="1">
        <f>SUM(OSRRefD21_11x_0)</f>
        <v>2587.73</v>
      </c>
      <c r="E58" s="1">
        <f>SUM(OSRRefD21_11x_1)</f>
        <v>2565</v>
      </c>
      <c r="F58" s="1">
        <f>SUM(OSRRefD21_11x_2)</f>
        <v>1484.15</v>
      </c>
      <c r="G58" s="1">
        <f>SUM(OSRRefD21_11x_3)</f>
        <v>2580.75</v>
      </c>
      <c r="H58" s="1">
        <f>SUM(OSRRefD21_11x_4)</f>
        <v>2594.63</v>
      </c>
      <c r="I58" s="1">
        <f>SUM(OSRRefD21_11x_5)</f>
        <v>1448.74</v>
      </c>
      <c r="J58" s="1">
        <f>SUM(OSRRefD21_11x_6)</f>
        <v>2591.4699999999998</v>
      </c>
      <c r="K58" s="1">
        <f>SUM(OSRRefD21_11x_7)</f>
        <v>21.75</v>
      </c>
      <c r="L58" s="1">
        <f>SUM(OSRRefD21_11x_8)</f>
        <v>4037.51</v>
      </c>
      <c r="M58" s="1">
        <f>SUM(OSRRefD21_11x_9)</f>
        <v>2217.46</v>
      </c>
      <c r="N58" s="1">
        <f>SUM(OSRRefE21_11x_0)</f>
        <v>2182</v>
      </c>
      <c r="O58" s="1">
        <f>SUM(OSRRefE21_11x_1)</f>
        <v>2176</v>
      </c>
      <c r="Q58" s="2">
        <f>SUM(OSRRefD20_11x)+IFERROR(SUM(OSRRefE20_11x),0)</f>
        <v>26487.189999999995</v>
      </c>
    </row>
    <row r="59" spans="1:17" s="34" customFormat="1" hidden="1" outlineLevel="1" x14ac:dyDescent="0.25">
      <c r="A59" s="35"/>
      <c r="B59" s="10" t="str">
        <f>CONCATENATE("          ","6371", " - ","COMPUTER SOFTWARE MAINTENANCE")</f>
        <v xml:space="preserve">          6371 - COMPUTER SOFTWARE MAINTENANCE</v>
      </c>
      <c r="C59" s="11"/>
      <c r="D59" s="2"/>
      <c r="E59" s="2"/>
      <c r="F59" s="2"/>
      <c r="G59" s="2"/>
      <c r="H59" s="2"/>
      <c r="I59" s="2"/>
      <c r="J59" s="2"/>
      <c r="K59" s="2"/>
      <c r="L59" s="2">
        <v>1980</v>
      </c>
      <c r="M59" s="2"/>
      <c r="N59" s="2"/>
      <c r="O59" s="2"/>
      <c r="P59" s="9"/>
      <c r="Q59" s="2">
        <f>SUM(OSRRefD21_11_0x)+IFERROR(SUM(OSRRefE21_11_0x),0)</f>
        <v>1980</v>
      </c>
    </row>
    <row r="60" spans="1:17" s="34" customFormat="1" hidden="1" outlineLevel="1" x14ac:dyDescent="0.25">
      <c r="A60" s="35"/>
      <c r="B60" s="10" t="str">
        <f>CONCATENATE("          ","6373", " - ","MAINTENANCE CONTRACTS")</f>
        <v xml:space="preserve">          6373 - MAINTENANCE CONTRACTS</v>
      </c>
      <c r="C60" s="11"/>
      <c r="D60" s="2">
        <v>2587.73</v>
      </c>
      <c r="E60" s="2">
        <v>2565</v>
      </c>
      <c r="F60" s="2">
        <v>1484.15</v>
      </c>
      <c r="G60" s="2">
        <v>2580.75</v>
      </c>
      <c r="H60" s="2">
        <v>2594.63</v>
      </c>
      <c r="I60" s="2">
        <v>1448.74</v>
      </c>
      <c r="J60" s="2">
        <v>2591.4699999999998</v>
      </c>
      <c r="K60" s="2">
        <v>21.75</v>
      </c>
      <c r="L60" s="2">
        <v>2057.5100000000002</v>
      </c>
      <c r="M60" s="2">
        <v>2217.46</v>
      </c>
      <c r="N60" s="2">
        <v>2182</v>
      </c>
      <c r="O60" s="2">
        <v>2176</v>
      </c>
      <c r="P60" s="9"/>
      <c r="Q60" s="2">
        <f>SUM(OSRRefD21_11_1x)+IFERROR(SUM(OSRRefE21_11_1x),0)</f>
        <v>24507.189999999995</v>
      </c>
    </row>
    <row r="61" spans="1:17" s="34" customFormat="1" collapsed="1" x14ac:dyDescent="0.25">
      <c r="A61" s="35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SUM(OSRRefD21_12x_0)</f>
        <v>0</v>
      </c>
      <c r="E61" s="1">
        <f>SUM(OSRRefD21_12x_1)</f>
        <v>1725</v>
      </c>
      <c r="F61" s="1">
        <f>SUM(OSRRefD21_12x_2)</f>
        <v>0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SUM(OSRRefD21_12x_6)</f>
        <v>0</v>
      </c>
      <c r="K61" s="1">
        <f>SUM(OSRRefD21_12x_7)</f>
        <v>0</v>
      </c>
      <c r="L61" s="1">
        <f>SUM(OSRRefD21_12x_8)</f>
        <v>0</v>
      </c>
      <c r="M61" s="1">
        <f>SUM(OSRRefD21_12x_9)</f>
        <v>4668</v>
      </c>
      <c r="N61" s="1">
        <f>SUM(OSRRefE21_12x_0)</f>
        <v>1700</v>
      </c>
      <c r="O61" s="1">
        <f>SUM(OSRRefE21_12x_1)</f>
        <v>1500</v>
      </c>
      <c r="Q61" s="2">
        <f>SUM(OSRRefD20_12x)+IFERROR(SUM(OSRRefE20_12x),0)</f>
        <v>9593</v>
      </c>
    </row>
    <row r="62" spans="1:17" s="34" customFormat="1" hidden="1" outlineLevel="1" x14ac:dyDescent="0.25">
      <c r="A62" s="35"/>
      <c r="B62" s="10" t="str">
        <f>CONCATENATE("          ","6258", " - ","MEMBERSHIP DUES")</f>
        <v xml:space="preserve">          6258 - MEMBERSHIP DUES</v>
      </c>
      <c r="C62" s="11"/>
      <c r="D62" s="2"/>
      <c r="E62" s="2">
        <v>1725</v>
      </c>
      <c r="F62" s="2"/>
      <c r="G62" s="2"/>
      <c r="H62" s="2"/>
      <c r="I62" s="2"/>
      <c r="J62" s="2"/>
      <c r="K62" s="2"/>
      <c r="L62" s="2"/>
      <c r="M62" s="2">
        <v>4668</v>
      </c>
      <c r="N62" s="2">
        <v>1700</v>
      </c>
      <c r="O62" s="2">
        <v>1500</v>
      </c>
      <c r="P62" s="9"/>
      <c r="Q62" s="2">
        <f>SUM(OSRRefD21_12_0x)+IFERROR(SUM(OSRRefE21_12_0x),0)</f>
        <v>9593</v>
      </c>
    </row>
    <row r="63" spans="1:17" s="34" customFormat="1" collapsed="1" x14ac:dyDescent="0.25">
      <c r="A63" s="35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SUM(OSRRefD21_13x_0)</f>
        <v>132.01</v>
      </c>
      <c r="E63" s="1">
        <f>SUM(OSRRefD21_13x_1)</f>
        <v>0</v>
      </c>
      <c r="F63" s="1">
        <f>SUM(OSRRefD21_13x_2)</f>
        <v>154.93</v>
      </c>
      <c r="G63" s="1">
        <f>SUM(OSRRefD21_13x_3)</f>
        <v>122.54</v>
      </c>
      <c r="H63" s="1">
        <f>SUM(OSRRefD21_13x_4)</f>
        <v>125.93</v>
      </c>
      <c r="I63" s="1">
        <f>SUM(OSRRefD21_13x_5)</f>
        <v>15.41</v>
      </c>
      <c r="J63" s="1">
        <f>SUM(OSRRefD21_13x_6)</f>
        <v>0</v>
      </c>
      <c r="K63" s="1">
        <f>SUM(OSRRefD21_13x_7)</f>
        <v>39.69</v>
      </c>
      <c r="L63" s="1">
        <f>SUM(OSRRefD21_13x_8)</f>
        <v>53.18</v>
      </c>
      <c r="M63" s="1">
        <f>SUM(OSRRefD21_13x_9)</f>
        <v>0</v>
      </c>
      <c r="N63" s="1">
        <f>SUM(OSRRefE21_13x_0)</f>
        <v>1000</v>
      </c>
      <c r="O63" s="1">
        <f>SUM(OSRRefE21_13x_1)</f>
        <v>1500</v>
      </c>
      <c r="Q63" s="2">
        <f>SUM(OSRRefD20_13x)+IFERROR(SUM(OSRRefE20_13x),0)</f>
        <v>3143.69</v>
      </c>
    </row>
    <row r="64" spans="1:17" s="34" customFormat="1" hidden="1" outlineLevel="1" x14ac:dyDescent="0.25">
      <c r="A64" s="35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1000</v>
      </c>
      <c r="O64" s="2">
        <v>1000</v>
      </c>
      <c r="P64" s="9"/>
      <c r="Q64" s="2">
        <f>SUM(OSRRefD21_13_0x)+IFERROR(SUM(OSRRefE21_13_0x),0)</f>
        <v>2000</v>
      </c>
    </row>
    <row r="65" spans="1:17" s="34" customFormat="1" hidden="1" outlineLevel="1" x14ac:dyDescent="0.25">
      <c r="A65" s="35"/>
      <c r="B65" s="10" t="str">
        <f>CONCATENATE("          ","6235", " - ","COVID-19 EXPENSES")</f>
        <v xml:space="preserve">          6235 - COVID-19 EXPENSES</v>
      </c>
      <c r="C65" s="11"/>
      <c r="D65" s="2">
        <v>106.94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500</v>
      </c>
      <c r="P65" s="9"/>
      <c r="Q65" s="2">
        <f>SUM(OSRRefD21_13_1x)+IFERROR(SUM(OSRRefE21_13_1x),0)</f>
        <v>606.94000000000005</v>
      </c>
    </row>
    <row r="66" spans="1:17" s="34" customFormat="1" hidden="1" outlineLevel="1" x14ac:dyDescent="0.25">
      <c r="A66" s="35"/>
      <c r="B66" s="10" t="str">
        <f>CONCATENATE("          ","6241", " - ","OFFICE EXPENSE")</f>
        <v xml:space="preserve">          6241 - OFFICE EXPENSE</v>
      </c>
      <c r="C66" s="11"/>
      <c r="D66" s="2">
        <v>25.07</v>
      </c>
      <c r="E66" s="2"/>
      <c r="F66" s="2">
        <v>154.93</v>
      </c>
      <c r="G66" s="2">
        <v>122.54</v>
      </c>
      <c r="H66" s="2">
        <v>125.93</v>
      </c>
      <c r="I66" s="2">
        <v>15.41</v>
      </c>
      <c r="J66" s="2"/>
      <c r="K66" s="2">
        <v>39.69</v>
      </c>
      <c r="L66" s="2">
        <v>53.18</v>
      </c>
      <c r="M66" s="2"/>
      <c r="N66" s="2"/>
      <c r="O66" s="2"/>
      <c r="P66" s="9"/>
      <c r="Q66" s="2">
        <f>SUM(OSRRefD21_13_2x)+IFERROR(SUM(OSRRefE21_13_2x),0)</f>
        <v>536.75</v>
      </c>
    </row>
    <row r="67" spans="1:17" s="34" customFormat="1" collapsed="1" x14ac:dyDescent="0.25">
      <c r="A67" s="35"/>
      <c r="B67" s="11" t="str">
        <f>CONCATENATE("     ","Telephone/Data Lines                              ")</f>
        <v xml:space="preserve">     Telephone/Data Lines                              </v>
      </c>
      <c r="C67" s="11"/>
      <c r="D67" s="1">
        <f>SUM(OSRRefD21_14x_0)</f>
        <v>303.16000000000003</v>
      </c>
      <c r="E67" s="1">
        <f>SUM(OSRRefD21_14x_1)</f>
        <v>304.26</v>
      </c>
      <c r="F67" s="1">
        <f>SUM(OSRRefD21_14x_2)</f>
        <v>460.64</v>
      </c>
      <c r="G67" s="1">
        <f>SUM(OSRRefD21_14x_3)</f>
        <v>338.06</v>
      </c>
      <c r="H67" s="1">
        <f>SUM(OSRRefD21_14x_4)</f>
        <v>239</v>
      </c>
      <c r="I67" s="1">
        <f>SUM(OSRRefD21_14x_5)</f>
        <v>1194.6600000000001</v>
      </c>
      <c r="J67" s="1">
        <f>SUM(OSRRefD21_14x_6)</f>
        <v>324.37</v>
      </c>
      <c r="K67" s="1">
        <f>SUM(OSRRefD21_14x_7)</f>
        <v>249.72</v>
      </c>
      <c r="L67" s="1">
        <f>SUM(OSRRefD21_14x_8)</f>
        <v>310.44</v>
      </c>
      <c r="M67" s="1">
        <f>SUM(OSRRefD21_14x_9)</f>
        <v>245.31</v>
      </c>
      <c r="N67" s="1">
        <f>SUM(OSRRefE21_14x_0)</f>
        <v>350</v>
      </c>
      <c r="O67" s="1">
        <f>SUM(OSRRefE21_14x_1)</f>
        <v>350</v>
      </c>
      <c r="Q67" s="2">
        <f>SUM(OSRRefD20_14x)+IFERROR(SUM(OSRRefE20_14x),0)</f>
        <v>4669.619999999999</v>
      </c>
    </row>
    <row r="68" spans="1:17" s="34" customFormat="1" hidden="1" outlineLevel="1" x14ac:dyDescent="0.25">
      <c r="A68" s="35"/>
      <c r="B68" s="10" t="str">
        <f>CONCATENATE("          ","6309", " - ","TELEPHONE")</f>
        <v xml:space="preserve">          6309 - TELEPHONE</v>
      </c>
      <c r="C68" s="11"/>
      <c r="D68" s="2">
        <v>303.16000000000003</v>
      </c>
      <c r="E68" s="2">
        <v>304.26</v>
      </c>
      <c r="F68" s="2">
        <v>460.64</v>
      </c>
      <c r="G68" s="2">
        <v>338.06</v>
      </c>
      <c r="H68" s="2">
        <v>239</v>
      </c>
      <c r="I68" s="2">
        <v>1194.6600000000001</v>
      </c>
      <c r="J68" s="2">
        <v>324.37</v>
      </c>
      <c r="K68" s="2">
        <v>249.72</v>
      </c>
      <c r="L68" s="2">
        <v>310.44</v>
      </c>
      <c r="M68" s="2">
        <v>245.31</v>
      </c>
      <c r="N68" s="2">
        <v>350</v>
      </c>
      <c r="O68" s="2">
        <v>350</v>
      </c>
      <c r="P68" s="9"/>
      <c r="Q68" s="2">
        <f>SUM(OSRRefD21_14_0x)+IFERROR(SUM(OSRRefE21_14_0x),0)</f>
        <v>4669.619999999999</v>
      </c>
    </row>
    <row r="69" spans="1:17" s="34" customFormat="1" collapsed="1" x14ac:dyDescent="0.25">
      <c r="A69" s="35"/>
      <c r="B69" s="11" t="str">
        <f>CONCATENATE("     ","Training                                          ")</f>
        <v xml:space="preserve">     Training                                          </v>
      </c>
      <c r="C69" s="11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1126.5</v>
      </c>
      <c r="I69" s="1">
        <f>SUM(OSRRefD21_15x_5)</f>
        <v>0</v>
      </c>
      <c r="J69" s="1">
        <f>SUM(OSRRefD21_15x_6)</f>
        <v>0</v>
      </c>
      <c r="K69" s="1">
        <f>SUM(OSRRefD21_15x_7)</f>
        <v>150</v>
      </c>
      <c r="L69" s="1">
        <f>SUM(OSRRefD21_15x_8)</f>
        <v>0</v>
      </c>
      <c r="M69" s="1">
        <f>SUM(OSRRefD21_15x_9)</f>
        <v>3000</v>
      </c>
      <c r="N69" s="1">
        <f>SUM(OSRRefE21_15x_0)</f>
        <v>0</v>
      </c>
      <c r="O69" s="1">
        <f>SUM(OSRRefE21_15x_1)</f>
        <v>0</v>
      </c>
      <c r="Q69" s="2">
        <f>SUM(OSRRefD20_15x)+IFERROR(SUM(OSRRefE20_15x),0)</f>
        <v>4276.5</v>
      </c>
    </row>
    <row r="70" spans="1:17" s="34" customFormat="1" hidden="1" outlineLevel="1" x14ac:dyDescent="0.25">
      <c r="A70" s="35"/>
      <c r="B70" s="10" t="str">
        <f>CONCATENATE("          ","6376", " - ","TRAINING")</f>
        <v xml:space="preserve">          6376 - TRAINING</v>
      </c>
      <c r="C70" s="11"/>
      <c r="D70" s="2"/>
      <c r="E70" s="2"/>
      <c r="F70" s="2"/>
      <c r="G70" s="2"/>
      <c r="H70" s="2">
        <v>1126.5</v>
      </c>
      <c r="I70" s="2"/>
      <c r="J70" s="2"/>
      <c r="K70" s="2">
        <v>150</v>
      </c>
      <c r="L70" s="2"/>
      <c r="M70" s="2">
        <v>3000</v>
      </c>
      <c r="N70" s="2"/>
      <c r="O70" s="2"/>
      <c r="P70" s="9"/>
      <c r="Q70" s="2">
        <f>SUM(OSRRefD21_15_0x)+IFERROR(SUM(OSRRefE21_15_0x),0)</f>
        <v>4276.5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3"/>
      <c r="B72" s="16" t="s">
        <v>291</v>
      </c>
      <c r="C72" s="22"/>
      <c r="D72" s="3">
        <f t="shared" ref="D72:M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/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IFERROR(+D14-D17+D72, 0)</f>
        <v>-35660.750000000007</v>
      </c>
      <c r="E74" s="8">
        <f t="shared" si="5"/>
        <v>-31265.52</v>
      </c>
      <c r="F74" s="8">
        <f t="shared" si="5"/>
        <v>-40329.990000000005</v>
      </c>
      <c r="G74" s="8">
        <f t="shared" si="5"/>
        <v>-35310.559999999998</v>
      </c>
      <c r="H74" s="8">
        <f t="shared" si="5"/>
        <v>-45348.319999999992</v>
      </c>
      <c r="I74" s="8">
        <f t="shared" si="5"/>
        <v>-43823.630000000005</v>
      </c>
      <c r="J74" s="8">
        <f t="shared" si="5"/>
        <v>-36488.950000000004</v>
      </c>
      <c r="K74" s="8">
        <f t="shared" si="5"/>
        <v>-30894.16</v>
      </c>
      <c r="L74" s="8">
        <f t="shared" si="5"/>
        <v>-33993.58</v>
      </c>
      <c r="M74" s="8">
        <f t="shared" si="5"/>
        <v>-46371.58</v>
      </c>
      <c r="N74" s="8">
        <f t="shared" si="5"/>
        <v>-51514.793846153872</v>
      </c>
      <c r="O74" s="8">
        <f t="shared" si="5"/>
        <v>-52806.793846153872</v>
      </c>
      <c r="Q74" s="8">
        <f>IFERROR(+Q14-Q17+Q72, 0)</f>
        <v>-483808.62769230769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-35660.750000000007</v>
      </c>
      <c r="E79" s="7">
        <f t="shared" si="7"/>
        <v>-31265.52</v>
      </c>
      <c r="F79" s="7">
        <f t="shared" si="7"/>
        <v>-40329.990000000005</v>
      </c>
      <c r="G79" s="7">
        <f t="shared" si="7"/>
        <v>-35310.559999999998</v>
      </c>
      <c r="H79" s="7">
        <f t="shared" si="7"/>
        <v>-45348.319999999992</v>
      </c>
      <c r="I79" s="7">
        <f t="shared" si="7"/>
        <v>-43823.630000000005</v>
      </c>
      <c r="J79" s="7">
        <f t="shared" si="7"/>
        <v>-36488.950000000004</v>
      </c>
      <c r="K79" s="7">
        <f t="shared" si="7"/>
        <v>-30894.16</v>
      </c>
      <c r="L79" s="7">
        <f t="shared" si="7"/>
        <v>-33993.58</v>
      </c>
      <c r="M79" s="7">
        <f t="shared" si="7"/>
        <v>-46371.58</v>
      </c>
      <c r="N79" s="7">
        <f t="shared" si="7"/>
        <v>-51514.793846153872</v>
      </c>
      <c r="O79" s="7">
        <f t="shared" si="7"/>
        <v>-52806.793846153872</v>
      </c>
      <c r="Q79" s="7">
        <f>IFERROR(+Q74-Q77, 0)</f>
        <v>-483808.62769230769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-35660.750000000007</v>
      </c>
      <c r="E83" s="7">
        <f t="shared" si="9"/>
        <v>-31265.52</v>
      </c>
      <c r="F83" s="7">
        <f t="shared" si="9"/>
        <v>-40329.990000000005</v>
      </c>
      <c r="G83" s="7">
        <f t="shared" si="9"/>
        <v>-35310.559999999998</v>
      </c>
      <c r="H83" s="7">
        <f t="shared" si="9"/>
        <v>-45348.319999999992</v>
      </c>
      <c r="I83" s="7">
        <f t="shared" si="9"/>
        <v>-43823.630000000005</v>
      </c>
      <c r="J83" s="7">
        <f t="shared" si="9"/>
        <v>-36488.950000000004</v>
      </c>
      <c r="K83" s="7">
        <f t="shared" si="9"/>
        <v>-30894.16</v>
      </c>
      <c r="L83" s="7">
        <f t="shared" si="9"/>
        <v>-33993.58</v>
      </c>
      <c r="M83" s="7">
        <f t="shared" si="9"/>
        <v>-46371.58</v>
      </c>
      <c r="N83" s="7">
        <f t="shared" si="9"/>
        <v>-51514.793846153872</v>
      </c>
      <c r="O83" s="7">
        <f t="shared" si="9"/>
        <v>-52806.793846153872</v>
      </c>
      <c r="Q83" s="7">
        <f>IFERROR(SUM(Q79:Q82), 0)</f>
        <v>-483808.62769230769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27">
        <v>44330.012769791669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31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39398.04</v>
      </c>
      <c r="E17" s="14">
        <f>SUM(OSRRefD20x_1)</f>
        <v>34593.850000000006</v>
      </c>
      <c r="F17" s="14">
        <f>SUM(OSRRefD20x_2)</f>
        <v>36054.400000000009</v>
      </c>
      <c r="G17" s="14">
        <f>SUM(OSRRefD20x_3)</f>
        <v>46110.250000000007</v>
      </c>
      <c r="H17" s="14">
        <f>SUM(OSRRefD20x_4)</f>
        <v>34438.060000000005</v>
      </c>
      <c r="I17" s="14">
        <f>SUM(OSRRefD20x_5)</f>
        <v>34402.75</v>
      </c>
      <c r="J17" s="14">
        <f>SUM(OSRRefD20x_6)</f>
        <v>46973.34</v>
      </c>
      <c r="K17" s="14">
        <f>SUM(OSRRefD20x_7)</f>
        <v>49534.04</v>
      </c>
      <c r="L17" s="14">
        <f>SUM(OSRRefD20x_8)</f>
        <v>56260.219999999994</v>
      </c>
      <c r="M17" s="14">
        <f>SUM(OSRRefD20x_9)</f>
        <v>39295.32</v>
      </c>
      <c r="N17" s="14">
        <f>SUM(OSRRefE20x_0)</f>
        <v>34453.883975384662</v>
      </c>
      <c r="O17" s="14">
        <f>SUM(OSRRefE20x_1)</f>
        <v>34312.655615384661</v>
      </c>
      <c r="Q17" s="14">
        <f>SUM(OSRRefG20x)</f>
        <v>485826.80959076923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SUM(OSRRefD21_0x_7)</f>
        <v>12793.13</v>
      </c>
      <c r="L18" s="1">
        <f>SUM(OSRRefD21_0x_8)</f>
        <v>12783.82</v>
      </c>
      <c r="M18" s="1">
        <f>SUM(OSRRefD21_0x_9)</f>
        <v>14986.869999999999</v>
      </c>
      <c r="N18" s="1">
        <f>SUM(OSRRefE21_0x_0)</f>
        <v>11816.868590769232</v>
      </c>
      <c r="O18" s="1">
        <f>SUM(OSRRefE21_0x_1)</f>
        <v>11816.040230769233</v>
      </c>
      <c r="Q18" s="2">
        <f>SUM(OSRRefD20_0x)+IFERROR(SUM(OSRRefE20_0x),0)</f>
        <v>157695.40882153847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1630.13</v>
      </c>
      <c r="L19" s="2">
        <v>1630.11</v>
      </c>
      <c r="M19" s="2">
        <v>2448.02</v>
      </c>
      <c r="N19" s="2">
        <v>1625.37946153846</v>
      </c>
      <c r="O19" s="2">
        <v>1625.37946153846</v>
      </c>
      <c r="P19" s="9"/>
      <c r="Q19" s="2">
        <f>SUM(OSRRefD21_0_0x)+IFERROR(SUM(OSRRefE21_0_0x),0)</f>
        <v>22390.528923076923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70.319999999999993</v>
      </c>
      <c r="L20" s="2">
        <v>70.319999999999993</v>
      </c>
      <c r="M20" s="2">
        <v>70.319999999999993</v>
      </c>
      <c r="N20" s="2">
        <v>70.550243076923095</v>
      </c>
      <c r="O20" s="2">
        <v>70.0869230769231</v>
      </c>
      <c r="P20" s="9"/>
      <c r="Q20" s="2">
        <f>SUM(OSRRefD21_0_1x)+IFERROR(SUM(OSRRefE21_0_1x),0)</f>
        <v>929.16716615384621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6236.66</v>
      </c>
      <c r="L21" s="2">
        <v>6236.66</v>
      </c>
      <c r="M21" s="2">
        <v>6236.66</v>
      </c>
      <c r="N21" s="2">
        <v>5415</v>
      </c>
      <c r="O21" s="2">
        <v>5415</v>
      </c>
      <c r="P21" s="9"/>
      <c r="Q21" s="2">
        <f>SUM(OSRRefD21_0_2x)+IFERROR(SUM(OSRRefE21_0_2x),0)</f>
        <v>71217.920000000013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55.4</v>
      </c>
      <c r="L22" s="2">
        <v>55.4</v>
      </c>
      <c r="M22" s="2">
        <v>55.4</v>
      </c>
      <c r="N22" s="2">
        <v>55.585039999999999</v>
      </c>
      <c r="O22" s="2">
        <v>55.22</v>
      </c>
      <c r="P22" s="9"/>
      <c r="Q22" s="2">
        <f>SUM(OSRRefD21_0_3x)+IFERROR(SUM(OSRRefE21_0_3x),0)</f>
        <v>732.03503999999987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1978.76</v>
      </c>
      <c r="L23" s="2">
        <v>1978.76</v>
      </c>
      <c r="M23" s="2">
        <v>1978.76</v>
      </c>
      <c r="N23" s="2">
        <v>1826.5076923076899</v>
      </c>
      <c r="O23" s="2">
        <v>1826.5076923076899</v>
      </c>
      <c r="P23" s="9"/>
      <c r="Q23" s="2">
        <f>SUM(OSRRefD21_0_4x)+IFERROR(SUM(OSRRefE21_0_4x),0)</f>
        <v>26270.685384615375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1606.1</v>
      </c>
      <c r="K25" s="2">
        <v>1606.1</v>
      </c>
      <c r="L25" s="2">
        <v>1606.1</v>
      </c>
      <c r="M25" s="2">
        <v>2409.15</v>
      </c>
      <c r="N25" s="2">
        <v>1061.9230769230801</v>
      </c>
      <c r="O25" s="2">
        <v>1061.9230769230801</v>
      </c>
      <c r="P25" s="9"/>
      <c r="Q25" s="2">
        <f>SUM(OSRRefD21_0_6x)+IFERROR(SUM(OSRRefE21_0_6x),0)</f>
        <v>19448.966153846162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979.42</v>
      </c>
      <c r="K26" s="2">
        <v>979.42</v>
      </c>
      <c r="L26" s="2">
        <v>979.42</v>
      </c>
      <c r="M26" s="2">
        <v>1469.13</v>
      </c>
      <c r="N26" s="2">
        <v>1061.9230769230801</v>
      </c>
      <c r="O26" s="2">
        <v>1061.9230769230801</v>
      </c>
      <c r="P26" s="9"/>
      <c r="Q26" s="2">
        <f>SUM(OSRRefD21_0_7x)+IFERROR(SUM(OSRRefE21_0_7x),0)</f>
        <v>12897.466153846159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70.56</v>
      </c>
      <c r="K27" s="2">
        <v>236.34</v>
      </c>
      <c r="L27" s="2">
        <v>227.05</v>
      </c>
      <c r="M27" s="2">
        <v>319.43</v>
      </c>
      <c r="N27" s="2">
        <v>700</v>
      </c>
      <c r="O27" s="2">
        <v>700</v>
      </c>
      <c r="P27" s="9"/>
      <c r="Q27" s="2">
        <f>SUM(OSRRefD21_0_8x)+IFERROR(SUM(OSRRefE21_0_8x),0)</f>
        <v>3808.64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22976.46</v>
      </c>
      <c r="E28" s="1">
        <f>SUM(OSRRefD21_1x_1)</f>
        <v>19719.28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18048.77</v>
      </c>
      <c r="I28" s="1">
        <f>SUM(OSRRefD21_1x_5)</f>
        <v>18337.96</v>
      </c>
      <c r="J28" s="1">
        <f>SUM(OSRRefD21_1x_6)</f>
        <v>25816.6</v>
      </c>
      <c r="K28" s="1">
        <f>SUM(OSRRefD21_1x_7)</f>
        <v>20037.189999999999</v>
      </c>
      <c r="L28" s="1">
        <f>SUM(OSRRefD21_1x_8)</f>
        <v>20049.07</v>
      </c>
      <c r="M28" s="1">
        <f>SUM(OSRRefD21_1x_9)</f>
        <v>21432.38</v>
      </c>
      <c r="N28" s="1">
        <f>SUM(OSRRefE21_1x_0)</f>
        <v>19255.015384615432</v>
      </c>
      <c r="O28" s="1">
        <f>SUM(OSRRefE21_1x_1)</f>
        <v>19114.61538461543</v>
      </c>
      <c r="Q28" s="2">
        <f>SUM(OSRRefD20_1x)+IFERROR(SUM(OSRRefE20_1x),0)</f>
        <v>251564.3907692309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5420.7692307692296</v>
      </c>
      <c r="O29" s="2">
        <v>5420.7692307692296</v>
      </c>
      <c r="P29" s="9"/>
      <c r="Q29" s="2">
        <f>SUM(OSRRefD21_1_0x)+IFERROR(SUM(OSRRefE21_1_0x),0)</f>
        <v>10841.538461538459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>
        <v>22976.46</v>
      </c>
      <c r="E30" s="2">
        <v>19633.39</v>
      </c>
      <c r="F30" s="2">
        <v>20449.46</v>
      </c>
      <c r="G30" s="2">
        <v>26031.72</v>
      </c>
      <c r="H30" s="2">
        <v>18048.77</v>
      </c>
      <c r="I30" s="2">
        <v>18337.96</v>
      </c>
      <c r="J30" s="2">
        <v>25816.6</v>
      </c>
      <c r="K30" s="2">
        <v>20037.189999999999</v>
      </c>
      <c r="L30" s="2">
        <v>20049.07</v>
      </c>
      <c r="M30" s="2">
        <v>21432.38</v>
      </c>
      <c r="N30" s="2">
        <v>13693.8461538462</v>
      </c>
      <c r="O30" s="2">
        <v>13693.8461538462</v>
      </c>
      <c r="P30" s="9"/>
      <c r="Q30" s="2">
        <f>SUM(OSRRefD21_1_1x)+IFERROR(SUM(OSRRefE21_1_1x),0)</f>
        <v>240200.69230769243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>
        <v>89.49</v>
      </c>
      <c r="G33" s="2">
        <v>175.99</v>
      </c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>
        <v>85.89</v>
      </c>
      <c r="F35" s="2">
        <v>72.39</v>
      </c>
      <c r="G35" s="2">
        <v>-42</v>
      </c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140.4</v>
      </c>
      <c r="O36" s="2">
        <v>0</v>
      </c>
      <c r="P36" s="9"/>
      <c r="Q36" s="2">
        <f>SUM(OSRRefD21_1_7x)+IFERROR(SUM(OSRRefE21_1_7x),0)</f>
        <v>140.4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","Depreciation                                      ")</f>
        <v xml:space="preserve">     Depreciation                                      </v>
      </c>
      <c r="C39" s="11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SUM(OSRRefD21_2x_7)</f>
        <v>1558.88</v>
      </c>
      <c r="L39" s="1">
        <f>SUM(OSRRefD21_2x_8)</f>
        <v>1558.88</v>
      </c>
      <c r="M39" s="1">
        <f>SUM(OSRRefD21_2x_9)</f>
        <v>1558.88</v>
      </c>
      <c r="N39" s="1">
        <f>SUM(OSRRefE21_2x_0)</f>
        <v>1559</v>
      </c>
      <c r="O39" s="1">
        <f>SUM(OSRRefE21_2x_1)</f>
        <v>1559</v>
      </c>
      <c r="Q39" s="2">
        <f>SUM(OSRRefD20_2x)+IFERROR(SUM(OSRRefE20_2x),0)</f>
        <v>18706.800000000003</v>
      </c>
    </row>
    <row r="40" spans="1:17" s="34" customFormat="1" hidden="1" outlineLevel="1" x14ac:dyDescent="0.25">
      <c r="A40" s="35"/>
      <c r="B40" s="10" t="str">
        <f>CONCATENATE("          ","6322", " - ","EQUIPMENT DEPRECIATION EXPENSE")</f>
        <v xml:space="preserve">          6322 - EQUIPMENT DEPRECIATION EXPENSE</v>
      </c>
      <c r="C40" s="11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1558.88</v>
      </c>
      <c r="L40" s="2">
        <v>1558.88</v>
      </c>
      <c r="M40" s="2">
        <v>1558.88</v>
      </c>
      <c r="N40" s="2">
        <v>1559</v>
      </c>
      <c r="O40" s="2">
        <v>1559</v>
      </c>
      <c r="P40" s="9"/>
      <c r="Q40" s="2">
        <f>SUM(OSRRefD21_2_0x)+IFERROR(SUM(OSRRefE21_2_0x),0)</f>
        <v>18706.800000000003</v>
      </c>
    </row>
    <row r="41" spans="1:17" s="34" customFormat="1" collapsed="1" x14ac:dyDescent="0.25">
      <c r="A41" s="35"/>
      <c r="B41" s="11" t="str">
        <f>CONCATENATE("     ","Equipment Rental                                  ")</f>
        <v xml:space="preserve">     Equipment Rental                                  </v>
      </c>
      <c r="C41" s="11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SUM(OSRRefD21_3x_6)</f>
        <v>91.26</v>
      </c>
      <c r="K41" s="1">
        <f>SUM(OSRRefD21_3x_7)</f>
        <v>91.26</v>
      </c>
      <c r="L41" s="1">
        <f>SUM(OSRRefD21_3x_8)</f>
        <v>91.26</v>
      </c>
      <c r="M41" s="1">
        <f>SUM(OSRRefD21_3x_9)</f>
        <v>91.26</v>
      </c>
      <c r="N41" s="1">
        <f>SUM(OSRRefE21_3x_0)</f>
        <v>91</v>
      </c>
      <c r="O41" s="1">
        <f>SUM(OSRRefE21_3x_1)</f>
        <v>91</v>
      </c>
      <c r="Q41" s="2">
        <f>SUM(OSRRefD20_3x)+IFERROR(SUM(OSRRefE20_3x),0)</f>
        <v>1094.5999999999999</v>
      </c>
    </row>
    <row r="42" spans="1:17" s="34" customFormat="1" hidden="1" outlineLevel="1" x14ac:dyDescent="0.25">
      <c r="A42" s="35"/>
      <c r="B42" s="10" t="str">
        <f>CONCATENATE("          ","6351", " - ","EQUIPMENT RENTAL")</f>
        <v xml:space="preserve">          6351 - EQUIPMENT RENTAL</v>
      </c>
      <c r="C42" s="11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91.26</v>
      </c>
      <c r="K42" s="2">
        <v>91.26</v>
      </c>
      <c r="L42" s="2">
        <v>91.26</v>
      </c>
      <c r="M42" s="2">
        <v>91.26</v>
      </c>
      <c r="N42" s="2">
        <v>91</v>
      </c>
      <c r="O42" s="2">
        <v>91</v>
      </c>
      <c r="P42" s="9"/>
      <c r="Q42" s="2">
        <f>SUM(OSRRefD21_3_0x)+IFERROR(SUM(OSRRefE21_3_0x),0)</f>
        <v>1094.5999999999999</v>
      </c>
    </row>
    <row r="43" spans="1:17" s="34" customFormat="1" collapsed="1" x14ac:dyDescent="0.25">
      <c r="A43" s="35"/>
      <c r="B43" s="11" t="str">
        <f>CONCATENATE("     ","Freight out/Postage                               ")</f>
        <v xml:space="preserve">     Freight out/Postage                               </v>
      </c>
      <c r="C43" s="11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SUM(OSRRefD21_4x_6)</f>
        <v>113.28</v>
      </c>
      <c r="K43" s="1">
        <f>SUM(OSRRefD21_4x_7)</f>
        <v>16.829999999999998</v>
      </c>
      <c r="L43" s="1">
        <f>SUM(OSRRefD21_4x_8)</f>
        <v>80.069999999999993</v>
      </c>
      <c r="M43" s="1">
        <f>SUM(OSRRefD21_4x_9)</f>
        <v>84.75</v>
      </c>
      <c r="N43" s="1">
        <f>SUM(OSRRefE21_4x_0)</f>
        <v>100</v>
      </c>
      <c r="O43" s="1">
        <f>SUM(OSRRefE21_4x_1)</f>
        <v>100</v>
      </c>
      <c r="Q43" s="2">
        <f>SUM(OSRRefD20_4x)+IFERROR(SUM(OSRRefE20_4x),0)</f>
        <v>1099.79</v>
      </c>
    </row>
    <row r="44" spans="1:17" s="34" customFormat="1" hidden="1" outlineLevel="1" x14ac:dyDescent="0.25">
      <c r="A44" s="35"/>
      <c r="B44" s="10" t="str">
        <f>CONCATENATE("          ","6305", " - ","FREIGHT OUT")</f>
        <v xml:space="preserve">          6305 - FREIGHT OUT</v>
      </c>
      <c r="C44" s="11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4" customFormat="1" hidden="1" outlineLevel="1" x14ac:dyDescent="0.25">
      <c r="A45" s="35"/>
      <c r="B45" s="10" t="str">
        <f>CONCATENATE("          ","6307", " - ","POSTAGE")</f>
        <v xml:space="preserve">          6307 - POSTAGE</v>
      </c>
      <c r="C45" s="11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113.28</v>
      </c>
      <c r="K45" s="2">
        <v>16.829999999999998</v>
      </c>
      <c r="L45" s="2">
        <v>80.069999999999993</v>
      </c>
      <c r="M45" s="2">
        <v>84.75</v>
      </c>
      <c r="N45" s="2">
        <v>100</v>
      </c>
      <c r="O45" s="2">
        <v>100</v>
      </c>
      <c r="P45" s="9"/>
      <c r="Q45" s="2">
        <f>SUM(OSRRefD21_4_1x)+IFERROR(SUM(OSRRefE21_4_1x),0)</f>
        <v>1094.3800000000001</v>
      </c>
    </row>
    <row r="46" spans="1:17" s="34" customFormat="1" collapsed="1" x14ac:dyDescent="0.25">
      <c r="A46" s="35"/>
      <c r="B46" s="11" t="str">
        <f>CONCATENATE("     ","Insurance                                         ")</f>
        <v xml:space="preserve">     Insurance                                         </v>
      </c>
      <c r="C46" s="11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SUM(OSRRefD21_5x_6)</f>
        <v>132.16999999999999</v>
      </c>
      <c r="K46" s="1">
        <f>SUM(OSRRefD21_5x_7)</f>
        <v>132.16999999999999</v>
      </c>
      <c r="L46" s="1">
        <f>SUM(OSRRefD21_5x_8)</f>
        <v>132.16999999999999</v>
      </c>
      <c r="M46" s="1">
        <f>SUM(OSRRefD21_5x_9)</f>
        <v>132.16999999999999</v>
      </c>
      <c r="N46" s="1">
        <f>SUM(OSRRefE21_5x_0)</f>
        <v>135</v>
      </c>
      <c r="O46" s="1">
        <f>SUM(OSRRefE21_5x_1)</f>
        <v>135</v>
      </c>
      <c r="Q46" s="2">
        <f>SUM(OSRRefD20_5x)+IFERROR(SUM(OSRRefE20_5x),0)</f>
        <v>1591.7</v>
      </c>
    </row>
    <row r="47" spans="1:17" s="34" customFormat="1" hidden="1" outlineLevel="1" x14ac:dyDescent="0.25">
      <c r="A47" s="35"/>
      <c r="B47" s="10" t="str">
        <f>CONCATENATE("          ","6314", " - ","LIABILITY INSURANCE")</f>
        <v xml:space="preserve">          6314 - LIABILITY INSURANCE</v>
      </c>
      <c r="C47" s="11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132.16999999999999</v>
      </c>
      <c r="K47" s="2">
        <v>132.16999999999999</v>
      </c>
      <c r="L47" s="2">
        <v>132.16999999999999</v>
      </c>
      <c r="M47" s="2">
        <v>132.16999999999999</v>
      </c>
      <c r="N47" s="2">
        <v>135</v>
      </c>
      <c r="O47" s="2">
        <v>135</v>
      </c>
      <c r="P47" s="9"/>
      <c r="Q47" s="2">
        <f>SUM(OSRRefD21_5_0x)+IFERROR(SUM(OSRRefE21_5_0x),0)</f>
        <v>1591.7</v>
      </c>
    </row>
    <row r="48" spans="1:17" s="34" customFormat="1" collapsed="1" x14ac:dyDescent="0.25">
      <c r="A48" s="35"/>
      <c r="B48" s="11" t="str">
        <f>CONCATENATE("     ","Professional Services                             ")</f>
        <v xml:space="preserve">     Professional Services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0</v>
      </c>
      <c r="N48" s="1">
        <f>SUM(OSRRefE21_6x_0)</f>
        <v>150</v>
      </c>
      <c r="O48" s="1">
        <f>SUM(OSRRefE21_6x_1)</f>
        <v>150</v>
      </c>
      <c r="Q48" s="2">
        <f>SUM(OSRRefD20_6x)+IFERROR(SUM(OSRRefE20_6x),0)</f>
        <v>300</v>
      </c>
    </row>
    <row r="49" spans="1:17" s="34" customFormat="1" hidden="1" outlineLevel="1" x14ac:dyDescent="0.25">
      <c r="A49" s="35"/>
      <c r="B49" s="10" t="str">
        <f>CONCATENATE("          ","6332", " - ","CONSULTANT FEES")</f>
        <v xml:space="preserve">          6332 - CONSULTANT FEES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150</v>
      </c>
      <c r="O49" s="2">
        <v>150</v>
      </c>
      <c r="P49" s="9"/>
      <c r="Q49" s="2">
        <f>SUM(OSRRefD21_6_0x)+IFERROR(SUM(OSRRefE21_6_0x),0)</f>
        <v>300</v>
      </c>
    </row>
    <row r="50" spans="1:17" s="34" customFormat="1" collapsed="1" x14ac:dyDescent="0.25">
      <c r="A50" s="35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SUM(OSRRefD21_7x_6)</f>
        <v>4664.16</v>
      </c>
      <c r="K50" s="1">
        <f>SUM(OSRRefD21_7x_7)</f>
        <v>11459.94</v>
      </c>
      <c r="L50" s="1">
        <f>SUM(OSRRefD21_7x_8)</f>
        <v>19959.13</v>
      </c>
      <c r="M50" s="1">
        <f>SUM(OSRRefD21_7x_9)</f>
        <v>607.82000000000005</v>
      </c>
      <c r="N50" s="1">
        <f>SUM(OSRRefE21_7x_0)</f>
        <v>60</v>
      </c>
      <c r="O50" s="1">
        <f>SUM(OSRRefE21_7x_1)</f>
        <v>60</v>
      </c>
      <c r="Q50" s="2">
        <f>SUM(OSRRefD20_7x)+IFERROR(SUM(OSRRefE20_7x),0)</f>
        <v>37763.920000000006</v>
      </c>
    </row>
    <row r="51" spans="1:17" s="34" customFormat="1" hidden="1" outlineLevel="1" x14ac:dyDescent="0.25">
      <c r="A51" s="35"/>
      <c r="B51" s="10" t="str">
        <f>CONCATENATE("          ","6371", " - ","COMPUTER SOFTWARE MAINTENANCE")</f>
        <v xml:space="preserve">          6371 - COMPUTER SOFTWARE MAINTENANCE</v>
      </c>
      <c r="C51" s="11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59.95</v>
      </c>
      <c r="K51" s="2">
        <v>11325.82</v>
      </c>
      <c r="L51" s="2">
        <v>19951.75</v>
      </c>
      <c r="M51" s="2">
        <v>59.95</v>
      </c>
      <c r="N51" s="2">
        <v>60</v>
      </c>
      <c r="O51" s="2">
        <v>60</v>
      </c>
      <c r="P51" s="9"/>
      <c r="Q51" s="2">
        <f>SUM(OSRRefD21_7_0x)+IFERROR(SUM(OSRRefE21_7_0x),0)</f>
        <v>32413.420000000002</v>
      </c>
    </row>
    <row r="52" spans="1:17" s="34" customFormat="1" hidden="1" outlineLevel="1" x14ac:dyDescent="0.25">
      <c r="A52" s="35"/>
      <c r="B52" s="10" t="str">
        <f>CONCATENATE("          ","6373", " - ","MAINTENANCE CONTRACTS")</f>
        <v xml:space="preserve">          6373 - MAINTENANCE CONTRACTS</v>
      </c>
      <c r="C52" s="11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>
        <v>4604.21</v>
      </c>
      <c r="K52" s="2">
        <v>7.1</v>
      </c>
      <c r="L52" s="2">
        <v>7.38</v>
      </c>
      <c r="M52" s="2">
        <v>497.75</v>
      </c>
      <c r="N52" s="2"/>
      <c r="O52" s="2"/>
      <c r="P52" s="9"/>
      <c r="Q52" s="2">
        <f>SUM(OSRRefD21_7_1x)+IFERROR(SUM(OSRRefE21_7_1x),0)</f>
        <v>5173.3600000000006</v>
      </c>
    </row>
    <row r="53" spans="1:17" s="34" customFormat="1" hidden="1" outlineLevel="1" x14ac:dyDescent="0.25">
      <c r="A53" s="35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/>
      <c r="F53" s="2"/>
      <c r="G53" s="2"/>
      <c r="H53" s="2"/>
      <c r="I53" s="2"/>
      <c r="J53" s="2"/>
      <c r="K53" s="2">
        <v>127.02</v>
      </c>
      <c r="L53" s="2"/>
      <c r="M53" s="2">
        <v>50.12</v>
      </c>
      <c r="N53" s="2"/>
      <c r="O53" s="2"/>
      <c r="P53" s="9"/>
      <c r="Q53" s="2">
        <f>SUM(OSRRefD21_7_2x)+IFERROR(SUM(OSRRefE21_7_2x),0)</f>
        <v>177.14</v>
      </c>
    </row>
    <row r="54" spans="1:17" s="34" customFormat="1" collapsed="1" x14ac:dyDescent="0.25">
      <c r="A54" s="35"/>
      <c r="B54" s="11" t="str">
        <f>CONCATENATE("     ","Services                                          ")</f>
        <v xml:space="preserve">     Services                                          </v>
      </c>
      <c r="C54" s="11"/>
      <c r="D54" s="1">
        <f>SUM(OSRRefD21_8x_0)</f>
        <v>512.48</v>
      </c>
      <c r="E54" s="1">
        <f>SUM(OSRRefD21_8x_1)</f>
        <v>0</v>
      </c>
      <c r="F54" s="1">
        <f>SUM(OSRRefD21_8x_2)</f>
        <v>512.48</v>
      </c>
      <c r="G54" s="1">
        <f>SUM(OSRRefD21_8x_3)</f>
        <v>1024.96</v>
      </c>
      <c r="H54" s="1">
        <f>SUM(OSRRefD21_8x_4)</f>
        <v>512.48</v>
      </c>
      <c r="I54" s="1">
        <f>SUM(OSRRefD21_8x_5)</f>
        <v>512.48</v>
      </c>
      <c r="J54" s="1">
        <f>SUM(OSRRefD21_8x_6)</f>
        <v>632.79999999999995</v>
      </c>
      <c r="K54" s="1">
        <f>SUM(OSRRefD21_8x_7)</f>
        <v>621.34</v>
      </c>
      <c r="L54" s="1">
        <f>SUM(OSRRefD21_8x_8)</f>
        <v>1251.32</v>
      </c>
      <c r="M54" s="1">
        <f>SUM(OSRRefD21_8x_9)</f>
        <v>0</v>
      </c>
      <c r="N54" s="1">
        <f>SUM(OSRRefE21_8x_0)</f>
        <v>512</v>
      </c>
      <c r="O54" s="1">
        <f>SUM(OSRRefE21_8x_1)</f>
        <v>512</v>
      </c>
      <c r="Q54" s="2">
        <f>SUM(OSRRefD20_8x)+IFERROR(SUM(OSRRefE20_8x),0)</f>
        <v>6604.34</v>
      </c>
    </row>
    <row r="55" spans="1:17" s="34" customFormat="1" hidden="1" outlineLevel="1" x14ac:dyDescent="0.25">
      <c r="A55" s="35"/>
      <c r="B55" s="10" t="str">
        <f>CONCATENATE("          ","6281", " - ","STORAGE FEE")</f>
        <v xml:space="preserve">          6281 - STORAGE FEE</v>
      </c>
      <c r="C55" s="11"/>
      <c r="D55" s="2">
        <v>512.48</v>
      </c>
      <c r="E55" s="2"/>
      <c r="F55" s="2">
        <v>512.48</v>
      </c>
      <c r="G55" s="2">
        <v>1024.96</v>
      </c>
      <c r="H55" s="2">
        <v>512.48</v>
      </c>
      <c r="I55" s="2">
        <v>512.48</v>
      </c>
      <c r="J55" s="2">
        <v>632.79999999999995</v>
      </c>
      <c r="K55" s="2">
        <v>621.34</v>
      </c>
      <c r="L55" s="2">
        <v>1251.32</v>
      </c>
      <c r="M55" s="2"/>
      <c r="N55" s="2">
        <v>512</v>
      </c>
      <c r="O55" s="2">
        <v>512</v>
      </c>
      <c r="P55" s="9"/>
      <c r="Q55" s="2">
        <f>SUM(OSRRefD21_8_0x)+IFERROR(SUM(OSRRefE21_8_0x),0)</f>
        <v>6604.34</v>
      </c>
    </row>
    <row r="56" spans="1:17" s="34" customFormat="1" collapsed="1" x14ac:dyDescent="0.25">
      <c r="A56" s="35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461.94000000000005</v>
      </c>
      <c r="E56" s="1">
        <f>SUM(OSRRefD21_9x_1)</f>
        <v>96.12</v>
      </c>
      <c r="F56" s="1">
        <f>SUM(OSRRefD21_9x_2)</f>
        <v>89.4</v>
      </c>
      <c r="G56" s="1">
        <f>SUM(OSRRefD21_9x_3)</f>
        <v>66.58</v>
      </c>
      <c r="H56" s="1">
        <f>SUM(OSRRefD21_9x_4)</f>
        <v>0</v>
      </c>
      <c r="I56" s="1">
        <f>SUM(OSRRefD21_9x_5)</f>
        <v>68.849999999999994</v>
      </c>
      <c r="J56" s="1">
        <f>SUM(OSRRefD21_9x_6)</f>
        <v>0</v>
      </c>
      <c r="K56" s="1">
        <f>SUM(OSRRefD21_9x_7)</f>
        <v>1241.08</v>
      </c>
      <c r="L56" s="1">
        <f>SUM(OSRRefD21_9x_8)</f>
        <v>1</v>
      </c>
      <c r="M56" s="1">
        <f>SUM(OSRRefD21_9x_9)</f>
        <v>42.19</v>
      </c>
      <c r="N56" s="1">
        <f>SUM(OSRRefE21_9x_0)</f>
        <v>150</v>
      </c>
      <c r="O56" s="1">
        <f>SUM(OSRRefE21_9x_1)</f>
        <v>150</v>
      </c>
      <c r="Q56" s="2">
        <f>SUM(OSRRefD20_9x)+IFERROR(SUM(OSRRefE20_9x),0)</f>
        <v>2367.16</v>
      </c>
    </row>
    <row r="57" spans="1:17" s="34" customFormat="1" hidden="1" outlineLevel="1" x14ac:dyDescent="0.25">
      <c r="A57" s="35"/>
      <c r="B57" s="10" t="str">
        <f>CONCATENATE("          ","6235", " - ","COVID-19 EXPENSES")</f>
        <v xml:space="preserve">          6235 - COVID-19 EXPENSES</v>
      </c>
      <c r="C57" s="11"/>
      <c r="D57" s="2">
        <v>426.66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426.66</v>
      </c>
    </row>
    <row r="58" spans="1:17" s="34" customFormat="1" hidden="1" outlineLevel="1" x14ac:dyDescent="0.25">
      <c r="A58" s="35"/>
      <c r="B58" s="10" t="str">
        <f>CONCATENATE("          ","6241", " - ","OFFICE EXPENSE")</f>
        <v xml:space="preserve">          6241 - OFFICE EXPENSE</v>
      </c>
      <c r="C58" s="11"/>
      <c r="D58" s="2">
        <v>35.28</v>
      </c>
      <c r="E58" s="2">
        <v>96.12</v>
      </c>
      <c r="F58" s="2">
        <v>89.4</v>
      </c>
      <c r="G58" s="2">
        <v>66.58</v>
      </c>
      <c r="H58" s="2"/>
      <c r="I58" s="2">
        <v>68.849999999999994</v>
      </c>
      <c r="J58" s="2"/>
      <c r="K58" s="2">
        <v>1241.08</v>
      </c>
      <c r="L58" s="2">
        <v>1</v>
      </c>
      <c r="M58" s="2">
        <v>42.19</v>
      </c>
      <c r="N58" s="2">
        <v>150</v>
      </c>
      <c r="O58" s="2">
        <v>150</v>
      </c>
      <c r="P58" s="9"/>
      <c r="Q58" s="2">
        <f>SUM(OSRRefD21_9_1x)+IFERROR(SUM(OSRRefE21_9_1x),0)</f>
        <v>1940.5</v>
      </c>
    </row>
    <row r="59" spans="1:17" s="34" customFormat="1" collapsed="1" x14ac:dyDescent="0.25">
      <c r="A59" s="35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421.3</v>
      </c>
      <c r="E59" s="1">
        <f>SUM(OSRRefD21_10x_1)</f>
        <v>420.15</v>
      </c>
      <c r="F59" s="1">
        <f>SUM(OSRRefD21_10x_2)</f>
        <v>425</v>
      </c>
      <c r="G59" s="1">
        <f>SUM(OSRRefD21_10x_3)</f>
        <v>425.8</v>
      </c>
      <c r="H59" s="1">
        <f>SUM(OSRRefD21_10x_4)</f>
        <v>413.65</v>
      </c>
      <c r="I59" s="1">
        <f>SUM(OSRRefD21_10x_5)</f>
        <v>414.15</v>
      </c>
      <c r="J59" s="1">
        <f>SUM(OSRRefD21_10x_6)</f>
        <v>358.11</v>
      </c>
      <c r="K59" s="1">
        <f>SUM(OSRRefD21_10x_7)</f>
        <v>1582.22</v>
      </c>
      <c r="L59" s="1">
        <f>SUM(OSRRefD21_10x_8)</f>
        <v>345.9</v>
      </c>
      <c r="M59" s="1">
        <f>SUM(OSRRefD21_10x_9)</f>
        <v>345.7</v>
      </c>
      <c r="N59" s="1">
        <f>SUM(OSRRefE21_10x_0)</f>
        <v>425</v>
      </c>
      <c r="O59" s="1">
        <f>SUM(OSRRefE21_10x_1)</f>
        <v>425</v>
      </c>
      <c r="Q59" s="2">
        <f>SUM(OSRRefD20_10x)+IFERROR(SUM(OSRRefE20_10x),0)</f>
        <v>6001.98</v>
      </c>
    </row>
    <row r="60" spans="1:17" s="34" customFormat="1" hidden="1" outlineLevel="1" x14ac:dyDescent="0.25">
      <c r="A60" s="35"/>
      <c r="B60" s="10" t="str">
        <f>CONCATENATE("          ","6309", " - ","TELEPHONE")</f>
        <v xml:space="preserve">          6309 - TELEPHONE</v>
      </c>
      <c r="C60" s="11"/>
      <c r="D60" s="2">
        <v>421.3</v>
      </c>
      <c r="E60" s="2">
        <v>420.15</v>
      </c>
      <c r="F60" s="2">
        <v>425</v>
      </c>
      <c r="G60" s="2">
        <v>425.8</v>
      </c>
      <c r="H60" s="2">
        <v>413.65</v>
      </c>
      <c r="I60" s="2">
        <v>414.15</v>
      </c>
      <c r="J60" s="2">
        <v>358.11</v>
      </c>
      <c r="K60" s="2">
        <v>1582.22</v>
      </c>
      <c r="L60" s="2">
        <v>345.9</v>
      </c>
      <c r="M60" s="2">
        <v>345.7</v>
      </c>
      <c r="N60" s="2">
        <v>425</v>
      </c>
      <c r="O60" s="2">
        <v>425</v>
      </c>
      <c r="P60" s="9"/>
      <c r="Q60" s="2">
        <f>SUM(OSRRefD21_10_0x)+IFERROR(SUM(OSRRefE21_10_0x),0)</f>
        <v>6001.98</v>
      </c>
    </row>
    <row r="61" spans="1:17" s="34" customFormat="1" collapsed="1" x14ac:dyDescent="0.25">
      <c r="A61" s="35"/>
      <c r="B61" s="11" t="str">
        <f>CONCATENATE("     ","Training                                          ")</f>
        <v xml:space="preserve">     Training                                          </v>
      </c>
      <c r="C61" s="11"/>
      <c r="D61" s="1">
        <f>SUM(OSRRefD21_11x_0)</f>
        <v>0</v>
      </c>
      <c r="E61" s="1">
        <f>SUM(OSRRefD21_11x_1)</f>
        <v>0</v>
      </c>
      <c r="F61" s="1">
        <f>SUM(OSRRefD21_11x_2)</f>
        <v>199</v>
      </c>
      <c r="G61" s="1">
        <f>SUM(OSRRefD21_11x_3)</f>
        <v>199</v>
      </c>
      <c r="H61" s="1">
        <f>SUM(OSRRefD21_11x_4)</f>
        <v>0</v>
      </c>
      <c r="I61" s="1">
        <f>SUM(OSRRefD21_11x_5)</f>
        <v>150</v>
      </c>
      <c r="J61" s="1">
        <f>SUM(OSRRefD21_11x_6)</f>
        <v>0</v>
      </c>
      <c r="K61" s="1">
        <f>SUM(OSRRefD21_11x_7)</f>
        <v>0</v>
      </c>
      <c r="L61" s="1">
        <f>SUM(OSRRefD21_11x_8)</f>
        <v>0</v>
      </c>
      <c r="M61" s="1">
        <f>SUM(OSRRefD21_11x_9)</f>
        <v>0</v>
      </c>
      <c r="N61" s="1">
        <f>SUM(OSRRefE21_11x_0)</f>
        <v>200</v>
      </c>
      <c r="O61" s="1">
        <f>SUM(OSRRefE21_11x_1)</f>
        <v>200</v>
      </c>
      <c r="Q61" s="2">
        <f>SUM(OSRRefD20_11x)+IFERROR(SUM(OSRRefE20_11x),0)</f>
        <v>948</v>
      </c>
    </row>
    <row r="62" spans="1:17" s="34" customFormat="1" hidden="1" outlineLevel="1" x14ac:dyDescent="0.25">
      <c r="A62" s="35"/>
      <c r="B62" s="10" t="str">
        <f>CONCATENATE("          ","6376", " - ","TRAINING")</f>
        <v xml:space="preserve">          6376 - TRAINING</v>
      </c>
      <c r="C62" s="11"/>
      <c r="D62" s="2"/>
      <c r="E62" s="2"/>
      <c r="F62" s="2">
        <v>199</v>
      </c>
      <c r="G62" s="2">
        <v>199</v>
      </c>
      <c r="H62" s="2"/>
      <c r="I62" s="2">
        <v>150</v>
      </c>
      <c r="J62" s="2"/>
      <c r="K62" s="2"/>
      <c r="L62" s="2"/>
      <c r="M62" s="2"/>
      <c r="N62" s="2">
        <v>200</v>
      </c>
      <c r="O62" s="2">
        <v>200</v>
      </c>
      <c r="P62" s="9"/>
      <c r="Q62" s="2">
        <f>SUM(OSRRefD21_11_0x)+IFERROR(SUM(OSRRefE21_11_0x),0)</f>
        <v>948</v>
      </c>
    </row>
    <row r="63" spans="1:17" s="34" customFormat="1" collapsed="1" x14ac:dyDescent="0.25">
      <c r="A63" s="35"/>
      <c r="B63" s="11" t="str">
        <f>CONCATENATE("     ","Travel                                            ")</f>
        <v xml:space="preserve">     Travel                                            </v>
      </c>
      <c r="C63" s="11"/>
      <c r="D63" s="1">
        <f>SUM(OSRRefD21_12x_0)</f>
        <v>9.75</v>
      </c>
      <c r="E63" s="1">
        <f>SUM(OSRRefD21_12x_1)</f>
        <v>7.8</v>
      </c>
      <c r="F63" s="1">
        <f>SUM(OSRRefD21_12x_2)</f>
        <v>0</v>
      </c>
      <c r="G63" s="1">
        <f>SUM(OSRRefD21_12x_3)</f>
        <v>29.07</v>
      </c>
      <c r="H63" s="1">
        <f>SUM(OSRRefD21_12x_4)</f>
        <v>0</v>
      </c>
      <c r="I63" s="1">
        <f>SUM(OSRRefD21_12x_5)</f>
        <v>0</v>
      </c>
      <c r="J63" s="1">
        <f>SUM(OSRRefD21_12x_6)</f>
        <v>21.2</v>
      </c>
      <c r="K63" s="1">
        <f>SUM(OSRRefD21_12x_7)</f>
        <v>0</v>
      </c>
      <c r="L63" s="1">
        <f>SUM(OSRRefD21_12x_8)</f>
        <v>7.6</v>
      </c>
      <c r="M63" s="1">
        <f>SUM(OSRRefD21_12x_9)</f>
        <v>13.3</v>
      </c>
      <c r="N63" s="1">
        <f>SUM(OSRRefE21_12x_0)</f>
        <v>0</v>
      </c>
      <c r="O63" s="1">
        <f>SUM(OSRRefE21_12x_1)</f>
        <v>0</v>
      </c>
      <c r="Q63" s="2">
        <f>SUM(OSRRefD20_12x)+IFERROR(SUM(OSRRefE20_12x),0)</f>
        <v>88.72</v>
      </c>
    </row>
    <row r="64" spans="1:17" s="34" customFormat="1" hidden="1" outlineLevel="1" x14ac:dyDescent="0.25">
      <c r="A64" s="35"/>
      <c r="B64" s="10" t="str">
        <f>CONCATENATE("          ","6294", " - ","TRAVEL OPERATIONAL")</f>
        <v xml:space="preserve">          6294 - TRAVEL OPERATIONAL</v>
      </c>
      <c r="C64" s="11"/>
      <c r="D64" s="2">
        <v>9.75</v>
      </c>
      <c r="E64" s="2">
        <v>7.8</v>
      </c>
      <c r="F64" s="2"/>
      <c r="G64" s="2">
        <v>29.07</v>
      </c>
      <c r="H64" s="2"/>
      <c r="I64" s="2"/>
      <c r="J64" s="2">
        <v>21.2</v>
      </c>
      <c r="K64" s="2"/>
      <c r="L64" s="2">
        <v>7.6</v>
      </c>
      <c r="M64" s="2">
        <v>13.3</v>
      </c>
      <c r="N64" s="2"/>
      <c r="O64" s="2"/>
      <c r="P64" s="9"/>
      <c r="Q64" s="2">
        <f>SUM(OSRRefD21_12_0x)+IFERROR(SUM(OSRRefE21_12_0x),0)</f>
        <v>88.72</v>
      </c>
    </row>
    <row r="65" spans="1:17" s="30" customFormat="1" x14ac:dyDescent="0.25">
      <c r="A65" s="21"/>
      <c r="B65" s="21"/>
      <c r="C65" s="2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Q65" s="1"/>
    </row>
    <row r="66" spans="1:17" s="9" customFormat="1" x14ac:dyDescent="0.25">
      <c r="A66" s="23"/>
      <c r="B66" s="16" t="s">
        <v>291</v>
      </c>
      <c r="C66" s="22"/>
      <c r="D66" s="3">
        <f t="shared" ref="D66:M66" si="4">0</f>
        <v>0</v>
      </c>
      <c r="E66" s="3">
        <f t="shared" si="4"/>
        <v>0</v>
      </c>
      <c r="F66" s="3">
        <f t="shared" si="4"/>
        <v>0</v>
      </c>
      <c r="G66" s="3">
        <f t="shared" si="4"/>
        <v>0</v>
      </c>
      <c r="H66" s="3">
        <f t="shared" si="4"/>
        <v>0</v>
      </c>
      <c r="I66" s="3">
        <f t="shared" si="4"/>
        <v>0</v>
      </c>
      <c r="J66" s="3">
        <f t="shared" si="4"/>
        <v>0</v>
      </c>
      <c r="K66" s="3">
        <f t="shared" si="4"/>
        <v>0</v>
      </c>
      <c r="L66" s="3">
        <f t="shared" si="4"/>
        <v>0</v>
      </c>
      <c r="M66" s="3">
        <f t="shared" si="4"/>
        <v>0</v>
      </c>
      <c r="N66" s="3"/>
      <c r="O66" s="3"/>
      <c r="Q66" s="2">
        <f>SUM(OSRRefD23_0x)+IFERROR(SUM(OSRRefE23_0x),0)</f>
        <v>0</v>
      </c>
    </row>
    <row r="67" spans="1:17" x14ac:dyDescent="0.25">
      <c r="A67" s="5"/>
      <c r="B67" s="6"/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x14ac:dyDescent="0.25">
      <c r="A68" s="6"/>
      <c r="B68" s="17" t="s">
        <v>274</v>
      </c>
      <c r="C68" s="17"/>
      <c r="D68" s="8">
        <f t="shared" ref="D68:O68" si="5">IFERROR(+D14-D17+D66, 0)</f>
        <v>-39398.04</v>
      </c>
      <c r="E68" s="8">
        <f t="shared" si="5"/>
        <v>-34593.850000000006</v>
      </c>
      <c r="F68" s="8">
        <f t="shared" si="5"/>
        <v>-36054.400000000009</v>
      </c>
      <c r="G68" s="8">
        <f t="shared" si="5"/>
        <v>-46110.250000000007</v>
      </c>
      <c r="H68" s="8">
        <f t="shared" si="5"/>
        <v>-34438.060000000005</v>
      </c>
      <c r="I68" s="8">
        <f t="shared" si="5"/>
        <v>-34402.75</v>
      </c>
      <c r="J68" s="8">
        <f t="shared" si="5"/>
        <v>-46973.34</v>
      </c>
      <c r="K68" s="8">
        <f t="shared" si="5"/>
        <v>-49534.04</v>
      </c>
      <c r="L68" s="8">
        <f t="shared" si="5"/>
        <v>-56260.219999999994</v>
      </c>
      <c r="M68" s="8">
        <f t="shared" si="5"/>
        <v>-39295.32</v>
      </c>
      <c r="N68" s="8">
        <f t="shared" si="5"/>
        <v>-34453.883975384662</v>
      </c>
      <c r="O68" s="8">
        <f t="shared" si="5"/>
        <v>-34312.655615384661</v>
      </c>
      <c r="Q68" s="8">
        <f>IFERROR(+Q14-Q17+Q66, 0)</f>
        <v>-485826.80959076923</v>
      </c>
    </row>
    <row r="69" spans="1:17" s="6" customFormat="1" x14ac:dyDescent="0.25">
      <c r="B69" s="16"/>
      <c r="C69" s="16"/>
      <c r="D69" s="4">
        <f t="shared" ref="D69:O69" si="6">IFERROR(D68/D10, 0)</f>
        <v>0</v>
      </c>
      <c r="E69" s="4">
        <f t="shared" si="6"/>
        <v>0</v>
      </c>
      <c r="F69" s="4">
        <f t="shared" si="6"/>
        <v>0</v>
      </c>
      <c r="G69" s="4">
        <f t="shared" si="6"/>
        <v>0</v>
      </c>
      <c r="H69" s="4">
        <f t="shared" si="6"/>
        <v>0</v>
      </c>
      <c r="I69" s="4">
        <f t="shared" si="6"/>
        <v>0</v>
      </c>
      <c r="J69" s="4">
        <f t="shared" si="6"/>
        <v>0</v>
      </c>
      <c r="K69" s="4">
        <f t="shared" si="6"/>
        <v>0</v>
      </c>
      <c r="L69" s="4">
        <f t="shared" si="6"/>
        <v>0</v>
      </c>
      <c r="M69" s="4">
        <f t="shared" si="6"/>
        <v>0</v>
      </c>
      <c r="N69" s="4">
        <f t="shared" si="6"/>
        <v>0</v>
      </c>
      <c r="O69" s="4">
        <f t="shared" si="6"/>
        <v>0</v>
      </c>
      <c r="P69" s="18"/>
      <c r="Q69" s="4">
        <f>IFERROR(Q68/Q10, 0)</f>
        <v>0</v>
      </c>
    </row>
    <row r="70" spans="1:17" x14ac:dyDescent="0.25">
      <c r="A70" s="5"/>
      <c r="B70" s="6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25"/>
      <c r="B71" s="6" t="s">
        <v>125</v>
      </c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2">
        <f>SUM(OSRRefD28_0x)+IFERROR(SUM(OSRRefE28_0x),0)</f>
        <v>0</v>
      </c>
    </row>
    <row r="72" spans="1:17" x14ac:dyDescent="0.25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124</v>
      </c>
      <c r="C73" s="17"/>
      <c r="D73" s="7">
        <f t="shared" ref="D73:O73" si="7">IFERROR(+D68-D71, 0)</f>
        <v>-39398.04</v>
      </c>
      <c r="E73" s="7">
        <f t="shared" si="7"/>
        <v>-34593.850000000006</v>
      </c>
      <c r="F73" s="7">
        <f t="shared" si="7"/>
        <v>-36054.400000000009</v>
      </c>
      <c r="G73" s="7">
        <f t="shared" si="7"/>
        <v>-46110.250000000007</v>
      </c>
      <c r="H73" s="7">
        <f t="shared" si="7"/>
        <v>-34438.060000000005</v>
      </c>
      <c r="I73" s="7">
        <f t="shared" si="7"/>
        <v>-34402.75</v>
      </c>
      <c r="J73" s="7">
        <f t="shared" si="7"/>
        <v>-46973.34</v>
      </c>
      <c r="K73" s="7">
        <f t="shared" si="7"/>
        <v>-49534.04</v>
      </c>
      <c r="L73" s="7">
        <f t="shared" si="7"/>
        <v>-56260.219999999994</v>
      </c>
      <c r="M73" s="7">
        <f t="shared" si="7"/>
        <v>-39295.32</v>
      </c>
      <c r="N73" s="7">
        <f t="shared" si="7"/>
        <v>-34453.883975384662</v>
      </c>
      <c r="O73" s="7">
        <f t="shared" si="7"/>
        <v>-34312.655615384661</v>
      </c>
      <c r="Q73" s="7">
        <f>IFERROR(+Q68-Q71, 0)</f>
        <v>-485826.80959076923</v>
      </c>
    </row>
    <row r="74" spans="1:17" ht="15.75" thickTop="1" x14ac:dyDescent="0.25">
      <c r="A74" s="5"/>
      <c r="B74" s="5"/>
      <c r="C74" s="5"/>
      <c r="D74" s="4">
        <f t="shared" ref="D74:O74" si="8">IFERROR(D73/D10, 0)</f>
        <v>0</v>
      </c>
      <c r="E74" s="4">
        <f t="shared" si="8"/>
        <v>0</v>
      </c>
      <c r="F74" s="4">
        <f t="shared" si="8"/>
        <v>0</v>
      </c>
      <c r="G74" s="4">
        <f t="shared" si="8"/>
        <v>0</v>
      </c>
      <c r="H74" s="4">
        <f t="shared" si="8"/>
        <v>0</v>
      </c>
      <c r="I74" s="4">
        <f t="shared" si="8"/>
        <v>0</v>
      </c>
      <c r="J74" s="4">
        <f t="shared" si="8"/>
        <v>0</v>
      </c>
      <c r="K74" s="4">
        <f t="shared" si="8"/>
        <v>0</v>
      </c>
      <c r="L74" s="4">
        <f t="shared" si="8"/>
        <v>0</v>
      </c>
      <c r="M74" s="4">
        <f t="shared" si="8"/>
        <v>0</v>
      </c>
      <c r="N74" s="4">
        <f t="shared" si="8"/>
        <v>0</v>
      </c>
      <c r="O74" s="4">
        <f t="shared" si="8"/>
        <v>0</v>
      </c>
      <c r="P74" s="18"/>
      <c r="Q74" s="4">
        <f>IFERROR(Q73/Q10, 0)</f>
        <v>0</v>
      </c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292</v>
      </c>
      <c r="C77" s="17"/>
      <c r="D77" s="7">
        <f t="shared" ref="D77:O77" si="9">IFERROR(SUM(D73:D76), 0)</f>
        <v>-39398.04</v>
      </c>
      <c r="E77" s="7">
        <f t="shared" si="9"/>
        <v>-34593.850000000006</v>
      </c>
      <c r="F77" s="7">
        <f t="shared" si="9"/>
        <v>-36054.400000000009</v>
      </c>
      <c r="G77" s="7">
        <f t="shared" si="9"/>
        <v>-46110.250000000007</v>
      </c>
      <c r="H77" s="7">
        <f t="shared" si="9"/>
        <v>-34438.060000000005</v>
      </c>
      <c r="I77" s="7">
        <f t="shared" si="9"/>
        <v>-34402.75</v>
      </c>
      <c r="J77" s="7">
        <f t="shared" si="9"/>
        <v>-46973.34</v>
      </c>
      <c r="K77" s="7">
        <f t="shared" si="9"/>
        <v>-49534.04</v>
      </c>
      <c r="L77" s="7">
        <f t="shared" si="9"/>
        <v>-56260.219999999994</v>
      </c>
      <c r="M77" s="7">
        <f t="shared" si="9"/>
        <v>-39295.32</v>
      </c>
      <c r="N77" s="7">
        <f t="shared" si="9"/>
        <v>-34453.883975384662</v>
      </c>
      <c r="O77" s="7">
        <f t="shared" si="9"/>
        <v>-34312.655615384661</v>
      </c>
      <c r="Q77" s="7">
        <f>IFERROR(SUM(Q73:Q76), 0)</f>
        <v>-485826.80959076923</v>
      </c>
    </row>
    <row r="78" spans="1:17" ht="15.75" thickTop="1" x14ac:dyDescent="0.25">
      <c r="A78" s="5"/>
      <c r="C78" s="5"/>
      <c r="D78" s="4">
        <f t="shared" ref="D78:O78" si="10">IFERROR(D77/D10, 0)</f>
        <v>0</v>
      </c>
      <c r="E78" s="4">
        <f t="shared" si="10"/>
        <v>0</v>
      </c>
      <c r="F78" s="4">
        <f t="shared" si="10"/>
        <v>0</v>
      </c>
      <c r="G78" s="4">
        <f t="shared" si="10"/>
        <v>0</v>
      </c>
      <c r="H78" s="4">
        <f t="shared" si="10"/>
        <v>0</v>
      </c>
      <c r="I78" s="4">
        <f t="shared" si="10"/>
        <v>0</v>
      </c>
      <c r="J78" s="4">
        <f t="shared" si="10"/>
        <v>0</v>
      </c>
      <c r="K78" s="4">
        <f t="shared" si="10"/>
        <v>0</v>
      </c>
      <c r="L78" s="4">
        <f t="shared" si="10"/>
        <v>0</v>
      </c>
      <c r="M78" s="4">
        <f t="shared" si="10"/>
        <v>0</v>
      </c>
      <c r="N78" s="4">
        <f t="shared" si="10"/>
        <v>0</v>
      </c>
      <c r="O78" s="4">
        <f t="shared" si="10"/>
        <v>0</v>
      </c>
      <c r="P78" s="18"/>
      <c r="Q78" s="4">
        <f>IFERROR(Q77/Q10, 0)</f>
        <v>0</v>
      </c>
    </row>
    <row r="79" spans="1:17" x14ac:dyDescent="0.25">
      <c r="A79" s="5"/>
      <c r="B79" s="27">
        <v>44330.012769791669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Q79" s="13"/>
    </row>
    <row r="80" spans="1:17" x14ac:dyDescent="0.25">
      <c r="A80" s="5"/>
      <c r="B80" s="31" t="s">
        <v>54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  <row r="81" spans="1:17" x14ac:dyDescent="0.25">
      <c r="A81" s="5"/>
      <c r="B81" s="26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51043.51</v>
      </c>
      <c r="E17" s="14">
        <f>SUM(OSRRefD20x_1)</f>
        <v>41292.079999999994</v>
      </c>
      <c r="F17" s="14">
        <f>SUM(OSRRefD20x_2)</f>
        <v>42643.45</v>
      </c>
      <c r="G17" s="14">
        <f>SUM(OSRRefD20x_3)</f>
        <v>53720.339999999989</v>
      </c>
      <c r="H17" s="14">
        <f>SUM(OSRRefD20x_4)</f>
        <v>41689.030000000006</v>
      </c>
      <c r="I17" s="14">
        <f>SUM(OSRRefD20x_5)</f>
        <v>41240.700000000004</v>
      </c>
      <c r="J17" s="14">
        <f>SUM(OSRRefD20x_6)</f>
        <v>51218.010000000009</v>
      </c>
      <c r="K17" s="14">
        <f>SUM(OSRRefD20x_7)</f>
        <v>44218.12</v>
      </c>
      <c r="L17" s="14">
        <f>SUM(OSRRefD20x_8)</f>
        <v>39480.030000000006</v>
      </c>
      <c r="M17" s="14">
        <f>SUM(OSRRefD20x_9)</f>
        <v>43462.69</v>
      </c>
      <c r="N17" s="14">
        <f>SUM(OSRRefE20x_0)</f>
        <v>49905.525784615391</v>
      </c>
      <c r="O17" s="14">
        <f>SUM(OSRRefE20x_1)</f>
        <v>49916.525784615391</v>
      </c>
      <c r="Q17" s="14">
        <f>SUM(OSRRefG20x)</f>
        <v>549830.01156923082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SUM(OSRRefD21_0x_7)</f>
        <v>11037.230000000001</v>
      </c>
      <c r="L18" s="1">
        <f>SUM(OSRRefD21_0x_8)</f>
        <v>11710.36</v>
      </c>
      <c r="M18" s="1">
        <f>SUM(OSRRefD21_0x_9)</f>
        <v>13891.150000000001</v>
      </c>
      <c r="N18" s="1">
        <f>SUM(OSRRefE21_0x_0)</f>
        <v>10515.895015384625</v>
      </c>
      <c r="O18" s="1">
        <f>SUM(OSRRefE21_0x_1)</f>
        <v>10515.895015384625</v>
      </c>
      <c r="Q18" s="2">
        <f>SUM(OSRRefD20_0x)+IFERROR(SUM(OSRRefE20_0x),0)</f>
        <v>145203.70003076925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1855.51</v>
      </c>
      <c r="L19" s="2">
        <v>1795.46</v>
      </c>
      <c r="M19" s="2">
        <v>2692.57</v>
      </c>
      <c r="N19" s="2">
        <v>1518.5906769230801</v>
      </c>
      <c r="O19" s="2">
        <v>1518.5906769230801</v>
      </c>
      <c r="P19" s="9"/>
      <c r="Q19" s="2">
        <f>SUM(OSRRefD21_0_0x)+IFERROR(SUM(OSRRefE21_0_0x),0)</f>
        <v>24603.351353846159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79.650000000000006</v>
      </c>
      <c r="L20" s="2">
        <v>77.45</v>
      </c>
      <c r="M20" s="2">
        <v>75.95</v>
      </c>
      <c r="N20" s="2">
        <v>91.129753846153903</v>
      </c>
      <c r="O20" s="2">
        <v>91.129753846153903</v>
      </c>
      <c r="P20" s="9"/>
      <c r="Q20" s="2">
        <f>SUM(OSRRefD21_0_1x)+IFERROR(SUM(OSRRefE21_0_1x),0)</f>
        <v>1079.529507692308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6028.29</v>
      </c>
      <c r="L21" s="2">
        <v>6028.29</v>
      </c>
      <c r="M21" s="2">
        <v>6028.29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71933.949230769242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62.76</v>
      </c>
      <c r="L22" s="2">
        <v>61.02</v>
      </c>
      <c r="M22" s="2">
        <v>59.84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850.53840000000002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1091.48</v>
      </c>
      <c r="L23" s="2">
        <v>1091.48</v>
      </c>
      <c r="M23" s="2">
        <v>1091.48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14990.089230769228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1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/>
      <c r="O25" s="2"/>
      <c r="P25" s="9"/>
      <c r="Q25" s="2">
        <f>SUM(OSRRefD21_0_6x)+IFERROR(SUM(OSRRefE21_0_6x),0)</f>
        <v>6131.5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1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478.68</v>
      </c>
      <c r="L26" s="2">
        <v>973.41</v>
      </c>
      <c r="M26" s="2">
        <v>2089.0500000000002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12578.687692307692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1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908.12</v>
      </c>
      <c r="L27" s="2">
        <v>908.12</v>
      </c>
      <c r="M27" s="2">
        <v>1362.18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11646.224615384615</v>
      </c>
    </row>
    <row r="28" spans="1:17" s="34" customFormat="1" hidden="1" outlineLevel="1" x14ac:dyDescent="0.25">
      <c r="A28" s="35"/>
      <c r="B28" s="10" t="str">
        <f>CONCATENATE("          ","6156", " - ","EMPLOYEE MEALS")</f>
        <v xml:space="preserve">          6156 - EMPLOYEE MEALS</v>
      </c>
      <c r="C28" s="11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/>
      <c r="L28" s="2"/>
      <c r="M28" s="2"/>
      <c r="N28" s="2">
        <v>525</v>
      </c>
      <c r="O28" s="2">
        <v>525</v>
      </c>
      <c r="P28" s="9"/>
      <c r="Q28" s="2">
        <f>SUM(OSRRefD21_0_9x)+IFERROR(SUM(OSRRefE21_0_9x),0)</f>
        <v>1389.83</v>
      </c>
    </row>
    <row r="29" spans="1:17" s="34" customFormat="1" collapsed="1" x14ac:dyDescent="0.25">
      <c r="A29" s="35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SUM(OSRRefD21_1x_7)</f>
        <v>22005.079999999998</v>
      </c>
      <c r="L29" s="1">
        <f>SUM(OSRRefD21_1x_8)</f>
        <v>23617.72</v>
      </c>
      <c r="M29" s="1">
        <f>SUM(OSRRefD21_1x_9)</f>
        <v>23553.25</v>
      </c>
      <c r="N29" s="1">
        <f>SUM(OSRRefE21_1x_0)</f>
        <v>26027.630769230767</v>
      </c>
      <c r="O29" s="1">
        <f>SUM(OSRRefE21_1x_1)</f>
        <v>26027.630769230767</v>
      </c>
      <c r="Q29" s="2">
        <f>SUM(OSRRefD20_1x)+IFERROR(SUM(OSRRefE20_1x),0)</f>
        <v>311782.31153846154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1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8980.2099999999991</v>
      </c>
      <c r="L30" s="2">
        <v>9474.9500000000007</v>
      </c>
      <c r="M30" s="2">
        <v>8410.14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118419.74153846153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1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11166.98</v>
      </c>
      <c r="K33" s="2">
        <v>10055.74</v>
      </c>
      <c r="L33" s="2">
        <v>9474.51</v>
      </c>
      <c r="M33" s="2">
        <v>13245.9</v>
      </c>
      <c r="N33" s="2">
        <v>9126.4</v>
      </c>
      <c r="O33" s="2">
        <v>9126.4</v>
      </c>
      <c r="P33" s="9"/>
      <c r="Q33" s="2">
        <f>SUM(OSRRefD21_1_3x)+IFERROR(SUM(OSRRefE21_1_3x),0)</f>
        <v>124750.16999999998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1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3541.75</v>
      </c>
      <c r="K34" s="2">
        <v>4163.13</v>
      </c>
      <c r="L34" s="2">
        <v>3704.26</v>
      </c>
      <c r="M34" s="2">
        <v>5393.21</v>
      </c>
      <c r="N34" s="2">
        <v>7772</v>
      </c>
      <c r="O34" s="2">
        <v>7772</v>
      </c>
      <c r="P34" s="9"/>
      <c r="Q34" s="2">
        <f>SUM(OSRRefD21_1_4x)+IFERROR(SUM(OSRRefE21_1_4x),0)</f>
        <v>68612.399999999994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1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3726</v>
      </c>
      <c r="K36" s="2">
        <v>-1194</v>
      </c>
      <c r="L36" s="2">
        <v>964</v>
      </c>
      <c r="M36" s="2">
        <v>-3496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SUM(OSRRefE21_2x_0)</f>
        <v>250</v>
      </c>
      <c r="O40" s="1">
        <f>SUM(OSRRefE21_2x_1)</f>
        <v>250</v>
      </c>
      <c r="Q40" s="2">
        <f>SUM(OSRRefD20_2x)+IFERROR(SUM(OSRRefE20_2x),0)</f>
        <v>500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250</v>
      </c>
      <c r="O41" s="2">
        <v>250</v>
      </c>
      <c r="P41" s="9"/>
      <c r="Q41" s="2">
        <f>SUM(OSRRefD21_2_0x)+IFERROR(SUM(OSRRefE21_2_0x),0)</f>
        <v>500</v>
      </c>
    </row>
    <row r="42" spans="1:17" s="34" customFormat="1" collapsed="1" x14ac:dyDescent="0.25">
      <c r="A42" s="35"/>
      <c r="B42" s="11" t="str">
        <f>CONCATENATE("     ","Employees' Appreciation                           ")</f>
        <v xml:space="preserve">     Employees' Appreciation                           </v>
      </c>
      <c r="C42" s="11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SUM(OSRRefE21_3x_0)</f>
        <v>0</v>
      </c>
      <c r="O42" s="1">
        <f>SUM(OSRRefE21_3x_1)</f>
        <v>0</v>
      </c>
      <c r="Q42" s="2">
        <f>SUM(OSRRefD20_3x)+IFERROR(SUM(OSRRefE20_3x),0)</f>
        <v>81.56</v>
      </c>
    </row>
    <row r="43" spans="1:17" s="34" customFormat="1" hidden="1" outlineLevel="1" x14ac:dyDescent="0.25">
      <c r="A43" s="35"/>
      <c r="B43" s="10" t="str">
        <f>CONCATENATE("          ","6277", " - ","EMPLOYEE APPRECIATION")</f>
        <v xml:space="preserve">          6277 - EMPLOYEE APPRECIATION</v>
      </c>
      <c r="C43" s="11"/>
      <c r="D43" s="2"/>
      <c r="E43" s="2">
        <v>81.56</v>
      </c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SUM(OSRRefD21_3_0x)+IFERROR(SUM(OSRRefE21_3_0x),0)</f>
        <v>81.56</v>
      </c>
    </row>
    <row r="44" spans="1:17" s="34" customFormat="1" collapsed="1" x14ac:dyDescent="0.25">
      <c r="A44" s="35"/>
      <c r="B44" s="11" t="str">
        <f>CONCATENATE("     ","Equipment Rental                                  ")</f>
        <v xml:space="preserve">     Equipment Rental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SUM(OSRRefD21_4x_9)</f>
        <v>0</v>
      </c>
      <c r="N44" s="1">
        <f>SUM(OSRRefE21_4x_0)</f>
        <v>82</v>
      </c>
      <c r="O44" s="1">
        <f>SUM(OSRRefE21_4x_1)</f>
        <v>88</v>
      </c>
      <c r="Q44" s="2">
        <f>SUM(OSRRefD20_4x)+IFERROR(SUM(OSRRefE20_4x),0)</f>
        <v>170</v>
      </c>
    </row>
    <row r="45" spans="1:17" s="34" customFormat="1" hidden="1" outlineLevel="1" x14ac:dyDescent="0.25">
      <c r="A45" s="35"/>
      <c r="B45" s="10" t="str">
        <f>CONCATENATE("          ","6351", " - ","EQUIPMENT RENTAL")</f>
        <v xml:space="preserve">          6351 - EQUIPMENT RENTAL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82</v>
      </c>
      <c r="O45" s="2">
        <v>88</v>
      </c>
      <c r="P45" s="9"/>
      <c r="Q45" s="2">
        <f>SUM(OSRRefD21_4_0x)+IFERROR(SUM(OSRRefE21_4_0x),0)</f>
        <v>170</v>
      </c>
    </row>
    <row r="46" spans="1:17" s="34" customFormat="1" collapsed="1" x14ac:dyDescent="0.25">
      <c r="A46" s="35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SUM(OSRRefD21_5x_6)</f>
        <v>1</v>
      </c>
      <c r="K46" s="1">
        <f>SUM(OSRRefD21_5x_7)</f>
        <v>0</v>
      </c>
      <c r="L46" s="1">
        <f>SUM(OSRRefD21_5x_8)</f>
        <v>10.220000000000001</v>
      </c>
      <c r="M46" s="1">
        <f>SUM(OSRRefD21_5x_9)</f>
        <v>0</v>
      </c>
      <c r="N46" s="1">
        <f>SUM(OSRRefE21_5x_0)</f>
        <v>83</v>
      </c>
      <c r="O46" s="1">
        <f>SUM(OSRRefE21_5x_1)</f>
        <v>87</v>
      </c>
      <c r="Q46" s="2">
        <f>SUM(OSRRefD20_5x)+IFERROR(SUM(OSRRefE20_5x),0)</f>
        <v>286.77</v>
      </c>
    </row>
    <row r="47" spans="1:17" s="34" customFormat="1" hidden="1" outlineLevel="1" x14ac:dyDescent="0.25">
      <c r="A47" s="35"/>
      <c r="B47" s="10" t="str">
        <f>CONCATENATE("          ","6307", " - ","POSTAGE")</f>
        <v xml:space="preserve">          6307 - POSTAGE</v>
      </c>
      <c r="C47" s="11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1</v>
      </c>
      <c r="K47" s="2"/>
      <c r="L47" s="2">
        <v>10.220000000000001</v>
      </c>
      <c r="M47" s="2"/>
      <c r="N47" s="2">
        <v>83</v>
      </c>
      <c r="O47" s="2">
        <v>87</v>
      </c>
      <c r="P47" s="9"/>
      <c r="Q47" s="2">
        <f>SUM(OSRRefD21_5_0x)+IFERROR(SUM(OSRRefE21_5_0x),0)</f>
        <v>286.77</v>
      </c>
    </row>
    <row r="48" spans="1:17" s="34" customFormat="1" collapsed="1" x14ac:dyDescent="0.25">
      <c r="A48" s="35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500</v>
      </c>
      <c r="K48" s="1">
        <f>SUM(OSRRefD21_6x_7)</f>
        <v>-489.4</v>
      </c>
      <c r="L48" s="1">
        <f>SUM(OSRRefD21_6x_8)</f>
        <v>52</v>
      </c>
      <c r="M48" s="1">
        <f>SUM(OSRRefD21_6x_9)</f>
        <v>52</v>
      </c>
      <c r="N48" s="1">
        <f>SUM(OSRRefE21_6x_0)</f>
        <v>333</v>
      </c>
      <c r="O48" s="1">
        <f>SUM(OSRRefE21_6x_1)</f>
        <v>337</v>
      </c>
      <c r="Q48" s="2">
        <f>SUM(OSRRefD20_6x)+IFERROR(SUM(OSRRefE20_6x),0)</f>
        <v>951.14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1"/>
      <c r="D49" s="2"/>
      <c r="E49" s="2">
        <v>-684</v>
      </c>
      <c r="F49" s="2">
        <v>850.54</v>
      </c>
      <c r="G49" s="2"/>
      <c r="H49" s="2"/>
      <c r="I49" s="2"/>
      <c r="J49" s="2">
        <v>500</v>
      </c>
      <c r="K49" s="2">
        <v>-489.4</v>
      </c>
      <c r="L49" s="2">
        <v>52</v>
      </c>
      <c r="M49" s="2">
        <v>52</v>
      </c>
      <c r="N49" s="2">
        <v>333</v>
      </c>
      <c r="O49" s="2">
        <v>337</v>
      </c>
      <c r="P49" s="9"/>
      <c r="Q49" s="2">
        <f>SUM(OSRRefD21_6_0x)+IFERROR(SUM(OSRRefE21_6_0x),0)</f>
        <v>951.14</v>
      </c>
    </row>
    <row r="50" spans="1:17" s="34" customFormat="1" collapsed="1" x14ac:dyDescent="0.25">
      <c r="A50" s="35"/>
      <c r="B50" s="11" t="str">
        <f>CONCATENATE("     ","Insurance                                         ")</f>
        <v xml:space="preserve">     Insurance                                         </v>
      </c>
      <c r="C50" s="11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SUM(OSRRefD21_7x_6)</f>
        <v>65.47</v>
      </c>
      <c r="K50" s="1">
        <f>SUM(OSRRefD21_7x_7)</f>
        <v>65.47</v>
      </c>
      <c r="L50" s="1">
        <f>SUM(OSRRefD21_7x_8)</f>
        <v>65.47</v>
      </c>
      <c r="M50" s="1">
        <f>SUM(OSRRefD21_7x_9)</f>
        <v>65.47</v>
      </c>
      <c r="N50" s="1">
        <f>SUM(OSRRefE21_7x_0)</f>
        <v>73</v>
      </c>
      <c r="O50" s="1">
        <f>SUM(OSRRefE21_7x_1)</f>
        <v>73</v>
      </c>
      <c r="Q50" s="2">
        <f>SUM(OSRRefD20_7x)+IFERROR(SUM(OSRRefE20_7x),0)</f>
        <v>800.70000000000016</v>
      </c>
    </row>
    <row r="51" spans="1:17" s="34" customFormat="1" hidden="1" outlineLevel="1" x14ac:dyDescent="0.25">
      <c r="A51" s="35"/>
      <c r="B51" s="10" t="str">
        <f>CONCATENATE("          ","6314", " - ","LIABILITY INSURANCE")</f>
        <v xml:space="preserve">          6314 - LIABILITY INSURANCE</v>
      </c>
      <c r="C51" s="11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65.47</v>
      </c>
      <c r="K51" s="2">
        <v>65.47</v>
      </c>
      <c r="L51" s="2">
        <v>65.47</v>
      </c>
      <c r="M51" s="2">
        <v>65.47</v>
      </c>
      <c r="N51" s="2">
        <v>73</v>
      </c>
      <c r="O51" s="2">
        <v>73</v>
      </c>
      <c r="P51" s="9"/>
      <c r="Q51" s="2">
        <f>SUM(OSRRefD21_7_0x)+IFERROR(SUM(OSRRefE21_7_0x),0)</f>
        <v>800.70000000000016</v>
      </c>
    </row>
    <row r="52" spans="1:17" s="34" customFormat="1" collapsed="1" x14ac:dyDescent="0.25">
      <c r="A52" s="35"/>
      <c r="B52" s="11" t="str">
        <f>CONCATENATE("     ","Professional Services                             ")</f>
        <v xml:space="preserve">     Professional Services                             </v>
      </c>
      <c r="C52" s="11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SUM(OSRRefD21_8x_6)</f>
        <v>3177.3</v>
      </c>
      <c r="K52" s="1">
        <f>SUM(OSRRefD21_8x_7)</f>
        <v>0</v>
      </c>
      <c r="L52" s="1">
        <f>SUM(OSRRefD21_8x_8)</f>
        <v>0</v>
      </c>
      <c r="M52" s="1">
        <f>SUM(OSRRefD21_8x_9)</f>
        <v>1655</v>
      </c>
      <c r="N52" s="1">
        <f>SUM(OSRRefE21_8x_0)</f>
        <v>2083</v>
      </c>
      <c r="O52" s="1">
        <f>SUM(OSRRefE21_8x_1)</f>
        <v>2087</v>
      </c>
      <c r="Q52" s="2">
        <f>SUM(OSRRefD20_8x)+IFERROR(SUM(OSRRefE20_8x),0)</f>
        <v>14644.88</v>
      </c>
    </row>
    <row r="53" spans="1:17" s="34" customFormat="1" hidden="1" outlineLevel="1" x14ac:dyDescent="0.25">
      <c r="A53" s="35"/>
      <c r="B53" s="10" t="str">
        <f>CONCATENATE("          ","6332", " - ","CONSULTANT FEES")</f>
        <v xml:space="preserve">          6332 - CONSULTANT FEES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25">
      <c r="A54" s="35"/>
      <c r="B54" s="10" t="str">
        <f>CONCATENATE("          ","6334", " - ","LEGAL COUNCIL EXPENSE")</f>
        <v xml:space="preserve">          6334 - LEGAL COUNCIL EXPENSE</v>
      </c>
      <c r="C54" s="11"/>
      <c r="D54" s="2"/>
      <c r="E54" s="2"/>
      <c r="F54" s="2"/>
      <c r="G54" s="2">
        <v>385</v>
      </c>
      <c r="H54" s="2"/>
      <c r="I54" s="2">
        <v>840</v>
      </c>
      <c r="J54" s="2">
        <v>1225</v>
      </c>
      <c r="K54" s="2"/>
      <c r="L54" s="2"/>
      <c r="M54" s="2"/>
      <c r="N54" s="2">
        <v>833</v>
      </c>
      <c r="O54" s="2">
        <v>837</v>
      </c>
      <c r="P54" s="9"/>
      <c r="Q54" s="2">
        <f>SUM(OSRRefD21_8_1x)+IFERROR(SUM(OSRRefE21_8_1x),0)</f>
        <v>4120</v>
      </c>
    </row>
    <row r="55" spans="1:17" s="34" customFormat="1" hidden="1" outlineLevel="1" x14ac:dyDescent="0.25">
      <c r="A55" s="35"/>
      <c r="B55" s="10" t="str">
        <f>CONCATENATE("          ","6336", " - ","PROFESSIONAL SERVICES")</f>
        <v xml:space="preserve">          6336 - PROFESSIONAL SERVICES</v>
      </c>
      <c r="C55" s="11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1952.3</v>
      </c>
      <c r="K55" s="2"/>
      <c r="L55" s="2"/>
      <c r="M55" s="2">
        <v>1655</v>
      </c>
      <c r="N55" s="2">
        <v>1250</v>
      </c>
      <c r="O55" s="2">
        <v>1250</v>
      </c>
      <c r="P55" s="9"/>
      <c r="Q55" s="2">
        <f>SUM(OSRRefD21_8_2x)+IFERROR(SUM(OSRRefE21_8_2x),0)</f>
        <v>10524.880000000001</v>
      </c>
    </row>
    <row r="56" spans="1:17" s="34" customFormat="1" collapsed="1" x14ac:dyDescent="0.25">
      <c r="A56" s="35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SUM(OSRRefD21_9x_6)</f>
        <v>4075.7</v>
      </c>
      <c r="K56" s="1">
        <f>SUM(OSRRefD21_9x_7)</f>
        <v>10344.780000000001</v>
      </c>
      <c r="L56" s="1">
        <f>SUM(OSRRefD21_9x_8)</f>
        <v>3753.51</v>
      </c>
      <c r="M56" s="1">
        <f>SUM(OSRRefD21_9x_9)</f>
        <v>3821.76</v>
      </c>
      <c r="N56" s="1">
        <f>SUM(OSRRefE21_9x_0)</f>
        <v>7083</v>
      </c>
      <c r="O56" s="1">
        <f>SUM(OSRRefE21_9x_1)</f>
        <v>7087</v>
      </c>
      <c r="Q56" s="2">
        <f>SUM(OSRRefD20_9x)+IFERROR(SUM(OSRRefE20_9x),0)</f>
        <v>61105.340000000004</v>
      </c>
    </row>
    <row r="57" spans="1:17" s="34" customFormat="1" hidden="1" outlineLevel="1" x14ac:dyDescent="0.25">
      <c r="A57" s="35"/>
      <c r="B57" s="10" t="str">
        <f>CONCATENATE("          ","6371", " - ","COMPUTER SOFTWARE MAINTENANCE")</f>
        <v xml:space="preserve">          6371 - COMPUTER SOFTWARE MAINTENANCE</v>
      </c>
      <c r="C57" s="11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4075.7</v>
      </c>
      <c r="K57" s="2">
        <v>10296.85</v>
      </c>
      <c r="L57" s="2">
        <v>3753.51</v>
      </c>
      <c r="M57" s="2">
        <v>3821.76</v>
      </c>
      <c r="N57" s="2">
        <v>7083</v>
      </c>
      <c r="O57" s="2">
        <v>7087</v>
      </c>
      <c r="P57" s="9"/>
      <c r="Q57" s="2">
        <f>SUM(OSRRefD21_9_0x)+IFERROR(SUM(OSRRefE21_9_0x),0)</f>
        <v>60999.320000000007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1"/>
      <c r="D58" s="2"/>
      <c r="E58" s="2"/>
      <c r="F58" s="2"/>
      <c r="G58" s="2"/>
      <c r="H58" s="2">
        <v>58.09</v>
      </c>
      <c r="I58" s="2"/>
      <c r="J58" s="2"/>
      <c r="K58" s="2">
        <v>47.93</v>
      </c>
      <c r="L58" s="2"/>
      <c r="M58" s="2"/>
      <c r="N58" s="2"/>
      <c r="O58" s="2"/>
      <c r="P58" s="9"/>
      <c r="Q58" s="2">
        <f>SUM(OSRRefD21_9_1x)+IFERROR(SUM(OSRRefE21_9_1x),0)</f>
        <v>106.02000000000001</v>
      </c>
    </row>
    <row r="59" spans="1:17" s="34" customFormat="1" collapsed="1" x14ac:dyDescent="0.25">
      <c r="A59" s="35"/>
      <c r="B59" s="11" t="str">
        <f>CONCATENATE("     ","Subscriptions &amp; Dues                              ")</f>
        <v xml:space="preserve">     Subscriptions &amp; Dues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795</v>
      </c>
      <c r="L59" s="1">
        <f>SUM(OSRRefD21_10x_8)</f>
        <v>0</v>
      </c>
      <c r="M59" s="1">
        <f>SUM(OSRRefD21_10x_9)</f>
        <v>0</v>
      </c>
      <c r="N59" s="1">
        <f>SUM(OSRRefE21_10x_0)</f>
        <v>55</v>
      </c>
      <c r="O59" s="1">
        <f>SUM(OSRRefE21_10x_1)</f>
        <v>52</v>
      </c>
      <c r="Q59" s="2">
        <f>SUM(OSRRefD20_10x)+IFERROR(SUM(OSRRefE20_10x),0)</f>
        <v>1436.99</v>
      </c>
    </row>
    <row r="60" spans="1:17" s="34" customFormat="1" hidden="1" outlineLevel="1" x14ac:dyDescent="0.25">
      <c r="A60" s="35"/>
      <c r="B60" s="10" t="str">
        <f>CONCATENATE("          ","6258", " - ","MEMBERSHIP DUES")</f>
        <v xml:space="preserve">          6258 - MEMBERSHIP DUES</v>
      </c>
      <c r="C60" s="11"/>
      <c r="D60" s="2"/>
      <c r="E60" s="2"/>
      <c r="F60" s="2"/>
      <c r="G60" s="2">
        <v>534.99</v>
      </c>
      <c r="H60" s="2"/>
      <c r="I60" s="2"/>
      <c r="J60" s="2"/>
      <c r="K60" s="2">
        <v>795</v>
      </c>
      <c r="L60" s="2"/>
      <c r="M60" s="2"/>
      <c r="N60" s="2">
        <v>55</v>
      </c>
      <c r="O60" s="2">
        <v>52</v>
      </c>
      <c r="P60" s="9"/>
      <c r="Q60" s="2">
        <f>SUM(OSRRefD21_10_0x)+IFERROR(SUM(OSRRefE21_10_0x),0)</f>
        <v>1436.99</v>
      </c>
    </row>
    <row r="61" spans="1:17" s="34" customFormat="1" collapsed="1" x14ac:dyDescent="0.25">
      <c r="A61" s="35"/>
      <c r="B61" s="11" t="str">
        <f>CONCATENATE("     ","Supplies                                          ")</f>
        <v xml:space="preserve">     Supplies                                          </v>
      </c>
      <c r="C61" s="11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SUM(OSRRefD21_11x_6)</f>
        <v>684</v>
      </c>
      <c r="K61" s="1">
        <f>SUM(OSRRefD21_11x_7)</f>
        <v>189.41</v>
      </c>
      <c r="L61" s="1">
        <f>SUM(OSRRefD21_11x_8)</f>
        <v>0</v>
      </c>
      <c r="M61" s="1">
        <f>SUM(OSRRefD21_11x_9)</f>
        <v>149.11000000000001</v>
      </c>
      <c r="N61" s="1">
        <f>SUM(OSRRefE21_11x_0)</f>
        <v>2084</v>
      </c>
      <c r="O61" s="1">
        <f>SUM(OSRRefE21_11x_1)</f>
        <v>2076</v>
      </c>
      <c r="Q61" s="2">
        <f>SUM(OSRRefD20_11x)+IFERROR(SUM(OSRRefE20_11x),0)</f>
        <v>6697.3700000000008</v>
      </c>
    </row>
    <row r="62" spans="1:17" s="34" customFormat="1" hidden="1" outlineLevel="1" x14ac:dyDescent="0.25">
      <c r="A62" s="35"/>
      <c r="B62" s="10" t="str">
        <f>CONCATENATE("          ","6235", " - ","COVID-19 EXPENSES")</f>
        <v xml:space="preserve">          6235 - COVID-19 EXPENSES</v>
      </c>
      <c r="C62" s="11"/>
      <c r="D62" s="2">
        <v>210.58</v>
      </c>
      <c r="E62" s="2"/>
      <c r="F62" s="2"/>
      <c r="G62" s="2"/>
      <c r="H62" s="2"/>
      <c r="I62" s="2"/>
      <c r="J62" s="2"/>
      <c r="K62" s="2"/>
      <c r="L62" s="2"/>
      <c r="M62" s="2"/>
      <c r="N62" s="2">
        <v>417</v>
      </c>
      <c r="O62" s="2">
        <v>413</v>
      </c>
      <c r="P62" s="9"/>
      <c r="Q62" s="2">
        <f>SUM(OSRRefD21_11_0x)+IFERROR(SUM(OSRRefE21_11_0x),0)</f>
        <v>1040.58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1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684</v>
      </c>
      <c r="K63" s="2">
        <v>189.41</v>
      </c>
      <c r="L63" s="2"/>
      <c r="M63" s="2">
        <v>149.11000000000001</v>
      </c>
      <c r="N63" s="2">
        <v>1250</v>
      </c>
      <c r="O63" s="2">
        <v>1250</v>
      </c>
      <c r="P63" s="9"/>
      <c r="Q63" s="2">
        <f>SUM(OSRRefD21_11_1x)+IFERROR(SUM(OSRRefE21_11_1x),0)</f>
        <v>4604.08</v>
      </c>
    </row>
    <row r="64" spans="1:17" s="34" customFormat="1" hidden="1" outlineLevel="1" x14ac:dyDescent="0.25">
      <c r="A64" s="35"/>
      <c r="B64" s="10" t="str">
        <f>CONCATENATE("          ","6244", " - ","SAFETY SUPPLY EXPENSE")</f>
        <v xml:space="preserve">          6244 - SAFETY SUPPLY EXPENSE</v>
      </c>
      <c r="C64" s="11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/>
      <c r="K64" s="2"/>
      <c r="L64" s="2"/>
      <c r="M64" s="2"/>
      <c r="N64" s="2">
        <v>417</v>
      </c>
      <c r="O64" s="2">
        <v>413</v>
      </c>
      <c r="P64" s="9"/>
      <c r="Q64" s="2">
        <f>SUM(OSRRefD21_11_2x)+IFERROR(SUM(OSRRefE21_11_2x),0)</f>
        <v>1052.71</v>
      </c>
    </row>
    <row r="65" spans="1:17" s="34" customFormat="1" collapsed="1" x14ac:dyDescent="0.25">
      <c r="A65" s="35"/>
      <c r="B65" s="11" t="str">
        <f>CONCATENATE("     ","Telephone/Data Lines                              ")</f>
        <v xml:space="preserve">     Telephone/Data Lines                              </v>
      </c>
      <c r="C65" s="11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SUM(OSRRefD21_12x_6)</f>
        <v>277.55</v>
      </c>
      <c r="K65" s="1">
        <f>SUM(OSRRefD21_12x_7)</f>
        <v>270.55</v>
      </c>
      <c r="L65" s="1">
        <f>SUM(OSRRefD21_12x_8)</f>
        <v>270.75</v>
      </c>
      <c r="M65" s="1">
        <f>SUM(OSRRefD21_12x_9)</f>
        <v>274.95</v>
      </c>
      <c r="N65" s="1">
        <f>SUM(OSRRefE21_12x_0)</f>
        <v>290</v>
      </c>
      <c r="O65" s="1">
        <f>SUM(OSRRefE21_12x_1)</f>
        <v>290</v>
      </c>
      <c r="Q65" s="2">
        <f>SUM(OSRRefD20_12x)+IFERROR(SUM(OSRRefE20_12x),0)</f>
        <v>3654.25</v>
      </c>
    </row>
    <row r="66" spans="1:17" s="34" customFormat="1" hidden="1" outlineLevel="1" x14ac:dyDescent="0.25">
      <c r="A66" s="35"/>
      <c r="B66" s="10" t="str">
        <f>CONCATENATE("          ","6309", " - ","TELEPHONE")</f>
        <v xml:space="preserve">          6309 - TELEPHONE</v>
      </c>
      <c r="C66" s="11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277.55</v>
      </c>
      <c r="K66" s="2">
        <v>270.55</v>
      </c>
      <c r="L66" s="2">
        <v>270.75</v>
      </c>
      <c r="M66" s="2">
        <v>274.95</v>
      </c>
      <c r="N66" s="2">
        <v>290</v>
      </c>
      <c r="O66" s="2">
        <v>290</v>
      </c>
      <c r="P66" s="9"/>
      <c r="Q66" s="2">
        <f>SUM(OSRRefD21_12_0x)+IFERROR(SUM(OSRRefE21_12_0x),0)</f>
        <v>3654.25</v>
      </c>
    </row>
    <row r="67" spans="1:17" s="34" customFormat="1" collapsed="1" x14ac:dyDescent="0.25">
      <c r="A67" s="35"/>
      <c r="B67" s="11" t="str">
        <f>CONCATENATE("     ","Training                                          ")</f>
        <v xml:space="preserve">     Training                                          </v>
      </c>
      <c r="C67" s="11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SUM(OSRRefD21_13x_7)</f>
        <v>0</v>
      </c>
      <c r="L67" s="1">
        <f>SUM(OSRRefD21_13x_8)</f>
        <v>0</v>
      </c>
      <c r="M67" s="1">
        <f>SUM(OSRRefD21_13x_9)</f>
        <v>0</v>
      </c>
      <c r="N67" s="1">
        <f>SUM(OSRRefE21_13x_0)</f>
        <v>946</v>
      </c>
      <c r="O67" s="1">
        <f>SUM(OSRRefE21_13x_1)</f>
        <v>946</v>
      </c>
      <c r="Q67" s="2">
        <f>SUM(OSRRefD20_13x)+IFERROR(SUM(OSRRefE20_13x),0)</f>
        <v>1795</v>
      </c>
    </row>
    <row r="68" spans="1:17" s="34" customFormat="1" hidden="1" outlineLevel="1" x14ac:dyDescent="0.25">
      <c r="A68" s="35"/>
      <c r="B68" s="10" t="str">
        <f>CONCATENATE("          ","6376", " - ","TRAINING")</f>
        <v xml:space="preserve">          6376 - TRAINING</v>
      </c>
      <c r="C68" s="11"/>
      <c r="D68" s="2"/>
      <c r="E68" s="2"/>
      <c r="F68" s="2">
        <v>-97</v>
      </c>
      <c r="G68" s="2"/>
      <c r="H68" s="2"/>
      <c r="I68" s="2"/>
      <c r="J68" s="2"/>
      <c r="K68" s="2"/>
      <c r="L68" s="2"/>
      <c r="M68" s="2"/>
      <c r="N68" s="2">
        <v>946</v>
      </c>
      <c r="O68" s="2">
        <v>946</v>
      </c>
      <c r="P68" s="9"/>
      <c r="Q68" s="2">
        <f>SUM(OSRRefD21_13_0x)+IFERROR(SUM(OSRRefE21_13_0x),0)</f>
        <v>1795</v>
      </c>
    </row>
    <row r="69" spans="1:17" s="34" customFormat="1" collapsed="1" x14ac:dyDescent="0.25">
      <c r="A69" s="35"/>
      <c r="B69" s="11" t="str">
        <f>CONCATENATE("     ","Travel                                            ")</f>
        <v xml:space="preserve">     Travel                                            </v>
      </c>
      <c r="C69" s="11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SUM(OSRRefD21_14x_8)</f>
        <v>0</v>
      </c>
      <c r="M69" s="1">
        <f>SUM(OSRRefD21_14x_9)</f>
        <v>0</v>
      </c>
      <c r="N69" s="1">
        <f>SUM(OSRRefE21_14x_0)</f>
        <v>0</v>
      </c>
      <c r="O69" s="1">
        <f>SUM(OSRRefE21_14x_1)</f>
        <v>0</v>
      </c>
      <c r="Q69" s="2">
        <f>SUM(OSRRefD20_14x)+IFERROR(SUM(OSRRefE20_14x),0)</f>
        <v>720</v>
      </c>
    </row>
    <row r="70" spans="1:17" s="34" customFormat="1" hidden="1" outlineLevel="1" x14ac:dyDescent="0.25">
      <c r="A70" s="35"/>
      <c r="B70" s="10" t="str">
        <f>CONCATENATE("          ","6292", " - ","TRAVEL/CONFERENCE")</f>
        <v xml:space="preserve">          6292 - TRAVEL/CONFERENCE</v>
      </c>
      <c r="C70" s="11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3"/>
      <c r="B72" s="16" t="s">
        <v>291</v>
      </c>
      <c r="C72" s="22"/>
      <c r="D72" s="3">
        <f t="shared" ref="D72:M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/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IFERROR(+D14-D17+D72, 0)</f>
        <v>-51043.51</v>
      </c>
      <c r="E74" s="8">
        <f t="shared" si="5"/>
        <v>-41292.079999999994</v>
      </c>
      <c r="F74" s="8">
        <f t="shared" si="5"/>
        <v>-42643.45</v>
      </c>
      <c r="G74" s="8">
        <f t="shared" si="5"/>
        <v>-53720.339999999989</v>
      </c>
      <c r="H74" s="8">
        <f t="shared" si="5"/>
        <v>-41689.030000000006</v>
      </c>
      <c r="I74" s="8">
        <f t="shared" si="5"/>
        <v>-41240.700000000004</v>
      </c>
      <c r="J74" s="8">
        <f t="shared" si="5"/>
        <v>-51218.010000000009</v>
      </c>
      <c r="K74" s="8">
        <f t="shared" si="5"/>
        <v>-44218.12</v>
      </c>
      <c r="L74" s="8">
        <f t="shared" si="5"/>
        <v>-39480.030000000006</v>
      </c>
      <c r="M74" s="8">
        <f t="shared" si="5"/>
        <v>-43462.69</v>
      </c>
      <c r="N74" s="8">
        <f t="shared" si="5"/>
        <v>-49905.525784615391</v>
      </c>
      <c r="O74" s="8">
        <f t="shared" si="5"/>
        <v>-49916.525784615391</v>
      </c>
      <c r="Q74" s="8">
        <f>IFERROR(+Q14-Q17+Q72, 0)</f>
        <v>-549830.01156923082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-51043.51</v>
      </c>
      <c r="E79" s="7">
        <f t="shared" si="7"/>
        <v>-41292.079999999994</v>
      </c>
      <c r="F79" s="7">
        <f t="shared" si="7"/>
        <v>-42643.45</v>
      </c>
      <c r="G79" s="7">
        <f t="shared" si="7"/>
        <v>-53720.339999999989</v>
      </c>
      <c r="H79" s="7">
        <f t="shared" si="7"/>
        <v>-41689.030000000006</v>
      </c>
      <c r="I79" s="7">
        <f t="shared" si="7"/>
        <v>-41240.700000000004</v>
      </c>
      <c r="J79" s="7">
        <f t="shared" si="7"/>
        <v>-51218.010000000009</v>
      </c>
      <c r="K79" s="7">
        <f t="shared" si="7"/>
        <v>-44218.12</v>
      </c>
      <c r="L79" s="7">
        <f t="shared" si="7"/>
        <v>-39480.030000000006</v>
      </c>
      <c r="M79" s="7">
        <f t="shared" si="7"/>
        <v>-43462.69</v>
      </c>
      <c r="N79" s="7">
        <f t="shared" si="7"/>
        <v>-49905.525784615391</v>
      </c>
      <c r="O79" s="7">
        <f t="shared" si="7"/>
        <v>-49916.525784615391</v>
      </c>
      <c r="Q79" s="7">
        <f>IFERROR(+Q74-Q77, 0)</f>
        <v>-549830.01156923082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-51043.51</v>
      </c>
      <c r="E83" s="7">
        <f t="shared" si="9"/>
        <v>-41292.079999999994</v>
      </c>
      <c r="F83" s="7">
        <f t="shared" si="9"/>
        <v>-42643.45</v>
      </c>
      <c r="G83" s="7">
        <f t="shared" si="9"/>
        <v>-53720.339999999989</v>
      </c>
      <c r="H83" s="7">
        <f t="shared" si="9"/>
        <v>-41689.030000000006</v>
      </c>
      <c r="I83" s="7">
        <f t="shared" si="9"/>
        <v>-41240.700000000004</v>
      </c>
      <c r="J83" s="7">
        <f t="shared" si="9"/>
        <v>-51218.010000000009</v>
      </c>
      <c r="K83" s="7">
        <f t="shared" si="9"/>
        <v>-44218.12</v>
      </c>
      <c r="L83" s="7">
        <f t="shared" si="9"/>
        <v>-39480.030000000006</v>
      </c>
      <c r="M83" s="7">
        <f t="shared" si="9"/>
        <v>-43462.69</v>
      </c>
      <c r="N83" s="7">
        <f t="shared" si="9"/>
        <v>-49905.525784615391</v>
      </c>
      <c r="O83" s="7">
        <f t="shared" si="9"/>
        <v>-49916.525784615391</v>
      </c>
      <c r="Q83" s="7">
        <f>IFERROR(SUM(Q79:Q82), 0)</f>
        <v>-549830.01156923082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27">
        <v>44330.012769791669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31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56908.759999999995</v>
      </c>
      <c r="E17" s="14">
        <f>SUM(OSRRefD20x_1)</f>
        <v>49895.869999999995</v>
      </c>
      <c r="F17" s="14">
        <f>SUM(OSRRefD20x_2)</f>
        <v>43962.689999999995</v>
      </c>
      <c r="G17" s="14">
        <f>SUM(OSRRefD20x_3)</f>
        <v>60340.259999999995</v>
      </c>
      <c r="H17" s="14">
        <f>SUM(OSRRefD20x_4)</f>
        <v>50583.669999999984</v>
      </c>
      <c r="I17" s="14">
        <f>SUM(OSRRefD20x_5)</f>
        <v>44863.989999999991</v>
      </c>
      <c r="J17" s="14">
        <f>SUM(OSRRefD20x_6)</f>
        <v>50620.13</v>
      </c>
      <c r="K17" s="14">
        <f>SUM(OSRRefD20x_7)</f>
        <v>48909.27</v>
      </c>
      <c r="L17" s="14">
        <f>SUM(OSRRefD20x_8)</f>
        <v>50075.959999999992</v>
      </c>
      <c r="M17" s="14">
        <f>SUM(OSRRefD20x_9)</f>
        <v>52587.89</v>
      </c>
      <c r="N17" s="14">
        <f>SUM(OSRRefE20x_0)</f>
        <v>46709.223076923052</v>
      </c>
      <c r="O17" s="14">
        <f>SUM(OSRRefE20x_1)</f>
        <v>48974.223076923052</v>
      </c>
      <c r="Q17" s="14">
        <f>SUM(OSRRefG20x)</f>
        <v>604431.93615384609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SUM(OSRRefD21_0x_7)</f>
        <v>10174.23</v>
      </c>
      <c r="L18" s="1">
        <f>SUM(OSRRefD21_0x_8)</f>
        <v>10511.94</v>
      </c>
      <c r="M18" s="1">
        <f>SUM(OSRRefD21_0x_9)</f>
        <v>12334.470000000001</v>
      </c>
      <c r="N18" s="1">
        <f>SUM(OSRRefE21_0x_0)</f>
        <v>9504.1461538461554</v>
      </c>
      <c r="O18" s="1">
        <f>SUM(OSRRefE21_0x_1)</f>
        <v>9504.1461538461554</v>
      </c>
      <c r="Q18" s="2">
        <f>SUM(OSRRefD20_0x)+IFERROR(SUM(OSRRefE20_0x),0)</f>
        <v>140370.98230769229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1417.14</v>
      </c>
      <c r="L19" s="2">
        <v>1417.14</v>
      </c>
      <c r="M19" s="2">
        <v>2134.3200000000002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20384.294615384617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61.13</v>
      </c>
      <c r="L20" s="2">
        <v>61.13</v>
      </c>
      <c r="M20" s="2">
        <v>61.13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900.74923076923073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4844.5200000000004</v>
      </c>
      <c r="L21" s="2">
        <v>4844.5200000000004</v>
      </c>
      <c r="M21" s="2">
        <v>4844.5200000000004</v>
      </c>
      <c r="N21" s="2">
        <v>4155</v>
      </c>
      <c r="O21" s="2">
        <v>4155</v>
      </c>
      <c r="P21" s="9"/>
      <c r="Q21" s="2">
        <f>SUM(OSRRefD21_0_2x)+IFERROR(SUM(OSRRefE21_0_2x),0)</f>
        <v>61068.460000000006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48.16</v>
      </c>
      <c r="L22" s="2">
        <v>48.16</v>
      </c>
      <c r="M22" s="2">
        <v>48.16</v>
      </c>
      <c r="N22" s="2">
        <v>46</v>
      </c>
      <c r="O22" s="2">
        <v>46</v>
      </c>
      <c r="P22" s="9"/>
      <c r="Q22" s="2">
        <f>SUM(OSRRefD21_0_3x)+IFERROR(SUM(OSRRefE21_0_3x),0)</f>
        <v>670.49999999999989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1861.21</v>
      </c>
      <c r="L23" s="2">
        <v>1861.21</v>
      </c>
      <c r="M23" s="2">
        <v>1861.21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24971.606923076921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","6117", " - ","RETIREMENT STAFF HOURLY")</f>
        <v xml:space="preserve">          6117 - RETIREMENT STAFF HOURLY</v>
      </c>
      <c r="C25" s="11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4" customFormat="1" hidden="1" outlineLevel="1" x14ac:dyDescent="0.25">
      <c r="A26" s="35"/>
      <c r="B26" s="10" t="str">
        <f>CONCATENATE("          ","6118", " - ","VACATION")</f>
        <v xml:space="preserve">          6118 - VACATION</v>
      </c>
      <c r="C26" s="11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1296.43</v>
      </c>
      <c r="K26" s="2">
        <v>1038.9100000000001</v>
      </c>
      <c r="L26" s="2">
        <v>1345.28</v>
      </c>
      <c r="M26" s="2">
        <v>2017.92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16858.890769230773</v>
      </c>
    </row>
    <row r="27" spans="1:17" s="34" customFormat="1" hidden="1" outlineLevel="1" x14ac:dyDescent="0.25">
      <c r="A27" s="35"/>
      <c r="B27" s="10" t="str">
        <f>CONCATENATE("          ","6119", " - ","SICK LEAVE")</f>
        <v xml:space="preserve">          6119 - SICK LEAVE</v>
      </c>
      <c r="C27" s="11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844.06</v>
      </c>
      <c r="K27" s="2">
        <v>844.06</v>
      </c>
      <c r="L27" s="2">
        <v>844.06</v>
      </c>
      <c r="M27" s="2">
        <v>1266.0899999999999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11828.790769230769</v>
      </c>
    </row>
    <row r="28" spans="1:17" s="34" customFormat="1" hidden="1" outlineLevel="1" x14ac:dyDescent="0.25">
      <c r="A28" s="35"/>
      <c r="B28" s="10" t="str">
        <f>CONCATENATE("          ","6156", " - ","EMPLOYEE MEALS")</f>
        <v xml:space="preserve">          6156 - EMPLOYEE MEALS</v>
      </c>
      <c r="C28" s="11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36.44</v>
      </c>
      <c r="K28" s="2">
        <v>59.1</v>
      </c>
      <c r="L28" s="2">
        <v>90.44</v>
      </c>
      <c r="M28" s="2">
        <v>101.12</v>
      </c>
      <c r="N28" s="2">
        <v>600</v>
      </c>
      <c r="O28" s="2">
        <v>600</v>
      </c>
      <c r="P28" s="9"/>
      <c r="Q28" s="2">
        <f>SUM(OSRRefD21_0_9x)+IFERROR(SUM(OSRRefE21_0_9x),0)</f>
        <v>2775.41</v>
      </c>
    </row>
    <row r="29" spans="1:17" s="34" customFormat="1" collapsed="1" x14ac:dyDescent="0.25">
      <c r="A29" s="35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25546.420000000002</v>
      </c>
      <c r="E29" s="1">
        <f>SUM(OSRRefD21_1x_1)</f>
        <v>19282.84</v>
      </c>
      <c r="F29" s="1">
        <f>SUM(OSRRefD21_1x_2)</f>
        <v>19965.489999999998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SUM(OSRRefD21_1x_6)</f>
        <v>21531.85</v>
      </c>
      <c r="K29" s="1">
        <f>SUM(OSRRefD21_1x_7)</f>
        <v>17527.439999999999</v>
      </c>
      <c r="L29" s="1">
        <f>SUM(OSRRefD21_1x_8)</f>
        <v>17848.189999999999</v>
      </c>
      <c r="M29" s="1">
        <f>SUM(OSRRefD21_1x_9)</f>
        <v>20593.09</v>
      </c>
      <c r="N29" s="1">
        <f>SUM(OSRRefE21_1x_0)</f>
        <v>15923.0769230769</v>
      </c>
      <c r="O29" s="1">
        <f>SUM(OSRRefE21_1x_1)</f>
        <v>15923.0769230769</v>
      </c>
      <c r="Q29" s="2">
        <f>SUM(OSRRefD20_1x)+IFERROR(SUM(OSRRefE20_1x),0)</f>
        <v>233573.0738461538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1"/>
      <c r="D31" s="2">
        <v>21357.08</v>
      </c>
      <c r="E31" s="2">
        <v>17443.39</v>
      </c>
      <c r="F31" s="2">
        <v>17443.39</v>
      </c>
      <c r="G31" s="2">
        <v>20606.53</v>
      </c>
      <c r="H31" s="2">
        <v>16254.92</v>
      </c>
      <c r="I31" s="2">
        <v>16907.8</v>
      </c>
      <c r="J31" s="2">
        <v>21531.85</v>
      </c>
      <c r="K31" s="2">
        <v>17527.439999999999</v>
      </c>
      <c r="L31" s="2">
        <v>17848.189999999999</v>
      </c>
      <c r="M31" s="2">
        <v>20593.09</v>
      </c>
      <c r="N31" s="2">
        <v>15923.0769230769</v>
      </c>
      <c r="O31" s="2">
        <v>15923.0769230769</v>
      </c>
      <c r="P31" s="9"/>
      <c r="Q31" s="2">
        <f>SUM(OSRRefD21_1_1x)+IFERROR(SUM(OSRRefE21_1_1x),0)</f>
        <v>219359.83384615381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1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SUM(OSRRefD21_1_3x)+IFERROR(SUM(OSRRefE21_1_3x),0)</f>
        <v>14213.24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1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1" t="str">
        <f>CONCATENATE("     ","Depreciation                                      ")</f>
        <v xml:space="preserve">     Depreciation                                      </v>
      </c>
      <c r="C40" s="11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SUM(OSRRefD21_2x_6)</f>
        <v>4994.03</v>
      </c>
      <c r="K40" s="1">
        <f>SUM(OSRRefD21_2x_7)</f>
        <v>4994.03</v>
      </c>
      <c r="L40" s="1">
        <f>SUM(OSRRefD21_2x_8)</f>
        <v>4994.03</v>
      </c>
      <c r="M40" s="1">
        <f>SUM(OSRRefD21_2x_9)</f>
        <v>4994.01</v>
      </c>
      <c r="N40" s="1">
        <f>SUM(OSRRefE21_2x_0)</f>
        <v>4891</v>
      </c>
      <c r="O40" s="1">
        <f>SUM(OSRRefE21_2x_1)</f>
        <v>4556</v>
      </c>
      <c r="Q40" s="2">
        <f>SUM(OSRRefD20_2x)+IFERROR(SUM(OSRRefE20_2x),0)</f>
        <v>60957.8</v>
      </c>
    </row>
    <row r="41" spans="1:17" s="34" customFormat="1" hidden="1" outlineLevel="1" x14ac:dyDescent="0.25">
      <c r="A41" s="35"/>
      <c r="B41" s="10" t="str">
        <f>CONCATENATE("          ","6322", " - ","EQUIPMENT DEPRECIATION EXPENSE")</f>
        <v xml:space="preserve">          6322 - EQUIPMENT DEPRECIATION EXPENSE</v>
      </c>
      <c r="C41" s="11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4994.03</v>
      </c>
      <c r="K41" s="2">
        <v>4994.03</v>
      </c>
      <c r="L41" s="2">
        <v>4994.03</v>
      </c>
      <c r="M41" s="2">
        <v>4994.01</v>
      </c>
      <c r="N41" s="2">
        <v>4891</v>
      </c>
      <c r="O41" s="2">
        <v>4556</v>
      </c>
      <c r="P41" s="9"/>
      <c r="Q41" s="2">
        <f>SUM(OSRRefD21_2_0x)+IFERROR(SUM(OSRRefE21_2_0x),0)</f>
        <v>60957.8</v>
      </c>
    </row>
    <row r="42" spans="1:17" s="34" customFormat="1" collapsed="1" x14ac:dyDescent="0.25">
      <c r="A42" s="35"/>
      <c r="B42" s="11" t="str">
        <f>CONCATENATE("     ","Freight out/Postage                               ")</f>
        <v xml:space="preserve">     Freight out/Postage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SUM(OSRRefE21_3x_0)</f>
        <v>0</v>
      </c>
      <c r="O42" s="1">
        <f>SUM(OSRRefE21_3x_1)</f>
        <v>0</v>
      </c>
      <c r="Q42" s="2">
        <f>SUM(OSRRefD20_3x)+IFERROR(SUM(OSRRefE20_3x),0)</f>
        <v>5.7</v>
      </c>
    </row>
    <row r="43" spans="1:17" s="34" customFormat="1" hidden="1" outlineLevel="1" x14ac:dyDescent="0.25">
      <c r="A43" s="35"/>
      <c r="B43" s="10" t="str">
        <f>CONCATENATE("          ","6307", " - ","POSTAGE")</f>
        <v xml:space="preserve">          6307 - POSTAGE</v>
      </c>
      <c r="C43" s="11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4" customFormat="1" collapsed="1" x14ac:dyDescent="0.25">
      <c r="A44" s="35"/>
      <c r="B44" s="11" t="str">
        <f>CONCATENATE("     ","Insurance                                         ")</f>
        <v xml:space="preserve">     Insurance                                         </v>
      </c>
      <c r="C44" s="11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SUM(OSRRefD21_4x_6)</f>
        <v>56.34</v>
      </c>
      <c r="K44" s="1">
        <f>SUM(OSRRefD21_4x_7)</f>
        <v>56.34</v>
      </c>
      <c r="L44" s="1">
        <f>SUM(OSRRefD21_4x_8)</f>
        <v>56.34</v>
      </c>
      <c r="M44" s="1">
        <f>SUM(OSRRefD21_4x_9)</f>
        <v>56.34</v>
      </c>
      <c r="N44" s="1">
        <f>SUM(OSRRefE21_4x_0)</f>
        <v>61</v>
      </c>
      <c r="O44" s="1">
        <f>SUM(OSRRefE21_4x_1)</f>
        <v>61</v>
      </c>
      <c r="Q44" s="2">
        <f>SUM(OSRRefD20_4x)+IFERROR(SUM(OSRRefE20_4x),0)</f>
        <v>685.4000000000002</v>
      </c>
    </row>
    <row r="45" spans="1:17" s="34" customFormat="1" hidden="1" outlineLevel="1" x14ac:dyDescent="0.25">
      <c r="A45" s="35"/>
      <c r="B45" s="10" t="str">
        <f>CONCATENATE("          ","6314", " - ","LIABILITY INSURANCE")</f>
        <v xml:space="preserve">          6314 - LIABILITY INSURANCE</v>
      </c>
      <c r="C45" s="11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56.34</v>
      </c>
      <c r="K45" s="2">
        <v>56.34</v>
      </c>
      <c r="L45" s="2">
        <v>56.34</v>
      </c>
      <c r="M45" s="2">
        <v>56.34</v>
      </c>
      <c r="N45" s="2">
        <v>61</v>
      </c>
      <c r="O45" s="2">
        <v>61</v>
      </c>
      <c r="P45" s="9"/>
      <c r="Q45" s="2">
        <f>SUM(OSRRefD21_4_0x)+IFERROR(SUM(OSRRefE21_4_0x),0)</f>
        <v>685.4000000000002</v>
      </c>
    </row>
    <row r="46" spans="1:17" s="34" customFormat="1" collapsed="1" x14ac:dyDescent="0.25">
      <c r="A46" s="35"/>
      <c r="B46" s="11" t="str">
        <f>CONCATENATE("     ","Repair and Maintenance                            ")</f>
        <v xml:space="preserve">     Repair and Maintenance                            </v>
      </c>
      <c r="C46" s="11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SUM(OSRRefD21_5x_6)</f>
        <v>11992</v>
      </c>
      <c r="K46" s="1">
        <f>SUM(OSRRefD21_5x_7)</f>
        <v>14990.82</v>
      </c>
      <c r="L46" s="1">
        <f>SUM(OSRRefD21_5x_8)</f>
        <v>15209.5</v>
      </c>
      <c r="M46" s="1">
        <f>SUM(OSRRefD21_5x_9)</f>
        <v>14188.5</v>
      </c>
      <c r="N46" s="1">
        <f>SUM(OSRRefE21_5x_0)</f>
        <v>14910</v>
      </c>
      <c r="O46" s="1">
        <f>SUM(OSRRefE21_5x_1)</f>
        <v>17510</v>
      </c>
      <c r="Q46" s="2">
        <f>SUM(OSRRefD20_5x)+IFERROR(SUM(OSRRefE20_5x),0)</f>
        <v>159968.98000000001</v>
      </c>
    </row>
    <row r="47" spans="1:17" s="34" customFormat="1" hidden="1" outlineLevel="1" x14ac:dyDescent="0.25">
      <c r="A47" s="35"/>
      <c r="B47" s="10" t="str">
        <f>CONCATENATE("          ","6371", " - ","COMPUTER SOFTWARE MAINTENANCE")</f>
        <v xml:space="preserve">          6371 - COMPUTER SOFTWARE MAINTENANCE</v>
      </c>
      <c r="C47" s="11"/>
      <c r="D47" s="2"/>
      <c r="E47" s="2"/>
      <c r="F47" s="2"/>
      <c r="G47" s="2">
        <v>2436.16</v>
      </c>
      <c r="H47" s="2"/>
      <c r="I47" s="2">
        <v>-2020</v>
      </c>
      <c r="J47" s="2"/>
      <c r="K47" s="2">
        <v>433.82</v>
      </c>
      <c r="L47" s="2">
        <v>3217.5</v>
      </c>
      <c r="M47" s="2">
        <v>1996.5</v>
      </c>
      <c r="N47" s="2">
        <v>660</v>
      </c>
      <c r="O47" s="2">
        <v>660</v>
      </c>
      <c r="P47" s="9"/>
      <c r="Q47" s="2">
        <f>SUM(OSRRefD21_5_0x)+IFERROR(SUM(OSRRefE21_5_0x),0)</f>
        <v>7383.98</v>
      </c>
    </row>
    <row r="48" spans="1:17" s="34" customFormat="1" hidden="1" outlineLevel="1" x14ac:dyDescent="0.25">
      <c r="A48" s="35"/>
      <c r="B48" s="10" t="str">
        <f>CONCATENATE("          ","6372", " - ","COMPUTER HARDWARE MAINTENANCE")</f>
        <v xml:space="preserve">          6372 - COMPUTER HARDWARE MAINTENANCE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1600</v>
      </c>
      <c r="O48" s="2">
        <v>4200</v>
      </c>
      <c r="P48" s="9"/>
      <c r="Q48" s="2">
        <f>SUM(OSRRefD21_5_1x)+IFERROR(SUM(OSRRefE21_5_1x),0)</f>
        <v>5800</v>
      </c>
    </row>
    <row r="49" spans="1:17" s="34" customFormat="1" hidden="1" outlineLevel="1" x14ac:dyDescent="0.25">
      <c r="A49" s="35"/>
      <c r="B49" s="10" t="str">
        <f>CONCATENATE("          ","6373", " - ","MAINTENANCE CONTRACTS")</f>
        <v xml:space="preserve">          6373 - MAINTENANCE CONTRACTS</v>
      </c>
      <c r="C49" s="11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11992</v>
      </c>
      <c r="K49" s="2">
        <v>14557</v>
      </c>
      <c r="L49" s="2">
        <v>11992</v>
      </c>
      <c r="M49" s="2">
        <v>12192</v>
      </c>
      <c r="N49" s="2">
        <v>12650</v>
      </c>
      <c r="O49" s="2">
        <v>12650</v>
      </c>
      <c r="P49" s="9"/>
      <c r="Q49" s="2">
        <f>SUM(OSRRefD21_5_2x)+IFERROR(SUM(OSRRefE21_5_2x),0)</f>
        <v>146785</v>
      </c>
    </row>
    <row r="50" spans="1:17" s="34" customFormat="1" collapsed="1" x14ac:dyDescent="0.25">
      <c r="A50" s="35"/>
      <c r="B50" s="11" t="str">
        <f>CONCATENATE("     ","Subscriptions &amp; Dues                              ")</f>
        <v xml:space="preserve">     Subscriptions &amp; Dues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0</v>
      </c>
      <c r="M50" s="1">
        <f>SUM(OSRRefD21_6x_9)</f>
        <v>0</v>
      </c>
      <c r="N50" s="1">
        <f>SUM(OSRRefE21_6x_0)</f>
        <v>100</v>
      </c>
      <c r="O50" s="1">
        <f>SUM(OSRRefE21_6x_1)</f>
        <v>100</v>
      </c>
      <c r="Q50" s="2">
        <f>SUM(OSRRefD20_6x)+IFERROR(SUM(OSRRefE20_6x),0)</f>
        <v>200</v>
      </c>
    </row>
    <row r="51" spans="1:17" s="34" customFormat="1" hidden="1" outlineLevel="1" x14ac:dyDescent="0.25">
      <c r="A51" s="35"/>
      <c r="B51" s="10" t="str">
        <f>CONCATENATE("          ","6275", " - ","SUBSCRIPTIONS")</f>
        <v xml:space="preserve">          6275 - SUBSCRIPTIONS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100</v>
      </c>
      <c r="O51" s="2">
        <v>100</v>
      </c>
      <c r="P51" s="9"/>
      <c r="Q51" s="2">
        <f>SUM(OSRRefD21_6_0x)+IFERROR(SUM(OSRRefE21_6_0x),0)</f>
        <v>200</v>
      </c>
    </row>
    <row r="52" spans="1:17" s="34" customFormat="1" collapsed="1" x14ac:dyDescent="0.25">
      <c r="A52" s="35"/>
      <c r="B52" s="11" t="str">
        <f>CONCATENATE("     ","Supplies                                          ")</f>
        <v xml:space="preserve">     Supplies                                          </v>
      </c>
      <c r="C52" s="11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SUM(OSRRefD21_7x_6)</f>
        <v>178.65</v>
      </c>
      <c r="K52" s="1">
        <f>SUM(OSRRefD21_7x_7)</f>
        <v>646.02</v>
      </c>
      <c r="L52" s="1">
        <f>SUM(OSRRefD21_7x_8)</f>
        <v>392.29</v>
      </c>
      <c r="M52" s="1">
        <f>SUM(OSRRefD21_7x_9)</f>
        <v>59.15</v>
      </c>
      <c r="N52" s="1">
        <f>SUM(OSRRefE21_7x_0)</f>
        <v>300</v>
      </c>
      <c r="O52" s="1">
        <f>SUM(OSRRefE21_7x_1)</f>
        <v>300</v>
      </c>
      <c r="Q52" s="2">
        <f>SUM(OSRRefD20_7x)+IFERROR(SUM(OSRRefE20_7x),0)</f>
        <v>-1128.0700000000002</v>
      </c>
    </row>
    <row r="53" spans="1:17" s="34" customFormat="1" hidden="1" outlineLevel="1" x14ac:dyDescent="0.25">
      <c r="A53" s="35"/>
      <c r="B53" s="10" t="str">
        <f>CONCATENATE("          ","6241", " - ","OFFICE EXPENSE")</f>
        <v xml:space="preserve">          6241 - OFFICE EXPENSE</v>
      </c>
      <c r="C53" s="11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178.65</v>
      </c>
      <c r="K53" s="2">
        <v>646.02</v>
      </c>
      <c r="L53" s="2">
        <v>392.29</v>
      </c>
      <c r="M53" s="2">
        <v>59.15</v>
      </c>
      <c r="N53" s="2">
        <v>300</v>
      </c>
      <c r="O53" s="2">
        <v>300</v>
      </c>
      <c r="P53" s="9"/>
      <c r="Q53" s="2">
        <f>SUM(OSRRefD21_7_0x)+IFERROR(SUM(OSRRefE21_7_0x),0)</f>
        <v>-1128.0700000000002</v>
      </c>
    </row>
    <row r="54" spans="1:17" s="34" customFormat="1" collapsed="1" x14ac:dyDescent="0.25">
      <c r="A54" s="35"/>
      <c r="B54" s="11" t="str">
        <f>CONCATENATE("     ","Telephone/Data Lines                              ")</f>
        <v xml:space="preserve">     Telephone/Data Lines                              </v>
      </c>
      <c r="C54" s="11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SUM(OSRRefD21_8x_6)</f>
        <v>614.14</v>
      </c>
      <c r="K54" s="1">
        <f>SUM(OSRRefD21_8x_7)</f>
        <v>520.39</v>
      </c>
      <c r="L54" s="1">
        <f>SUM(OSRRefD21_8x_8)</f>
        <v>664.67</v>
      </c>
      <c r="M54" s="1">
        <f>SUM(OSRRefD21_8x_9)</f>
        <v>362.33</v>
      </c>
      <c r="N54" s="1">
        <f>SUM(OSRRefE21_8x_0)</f>
        <v>395</v>
      </c>
      <c r="O54" s="1">
        <f>SUM(OSRRefE21_8x_1)</f>
        <v>395</v>
      </c>
      <c r="Q54" s="2">
        <f>SUM(OSRRefD20_8x)+IFERROR(SUM(OSRRefE20_8x),0)</f>
        <v>8050.0700000000006</v>
      </c>
    </row>
    <row r="55" spans="1:17" s="34" customFormat="1" hidden="1" outlineLevel="1" x14ac:dyDescent="0.25">
      <c r="A55" s="35"/>
      <c r="B55" s="10" t="str">
        <f>CONCATENATE("          ","6303", " - ","DATA PHONE LINES")</f>
        <v xml:space="preserve">          6303 - DATA PHONE LINES</v>
      </c>
      <c r="C55" s="11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158.97999999999999</v>
      </c>
      <c r="K55" s="2">
        <v>78.989999999999995</v>
      </c>
      <c r="L55" s="2">
        <v>238.97</v>
      </c>
      <c r="M55" s="2">
        <v>161.97999999999999</v>
      </c>
      <c r="N55" s="2">
        <v>335</v>
      </c>
      <c r="O55" s="2">
        <v>335</v>
      </c>
      <c r="P55" s="9"/>
      <c r="Q55" s="2">
        <f>SUM(OSRRefD21_8_0x)+IFERROR(SUM(OSRRefE21_8_0x),0)</f>
        <v>2073.8199999999997</v>
      </c>
    </row>
    <row r="56" spans="1:17" s="34" customFormat="1" hidden="1" outlineLevel="1" x14ac:dyDescent="0.25">
      <c r="A56" s="35"/>
      <c r="B56" s="10" t="str">
        <f>CONCATENATE("          ","6309", " - ","TELEPHONE")</f>
        <v xml:space="preserve">          6309 - TELEPHONE</v>
      </c>
      <c r="C56" s="11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455.16</v>
      </c>
      <c r="K56" s="2">
        <v>441.4</v>
      </c>
      <c r="L56" s="2">
        <v>425.7</v>
      </c>
      <c r="M56" s="2">
        <v>200.35</v>
      </c>
      <c r="N56" s="2">
        <v>60</v>
      </c>
      <c r="O56" s="2">
        <v>60</v>
      </c>
      <c r="P56" s="9"/>
      <c r="Q56" s="2">
        <f>SUM(OSRRefD21_8_1x)+IFERROR(SUM(OSRRefE21_8_1x),0)</f>
        <v>5976.2499999999991</v>
      </c>
    </row>
    <row r="57" spans="1:17" s="34" customFormat="1" collapsed="1" x14ac:dyDescent="0.25">
      <c r="A57" s="35"/>
      <c r="B57" s="11" t="str">
        <f>CONCATENATE("     ","Training                                          ")</f>
        <v xml:space="preserve">     Training              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SUM(OSRRefD21_9x_6)</f>
        <v>0</v>
      </c>
      <c r="K57" s="1">
        <f>SUM(OSRRefD21_9x_7)</f>
        <v>0</v>
      </c>
      <c r="L57" s="1">
        <f>SUM(OSRRefD21_9x_8)</f>
        <v>399</v>
      </c>
      <c r="M57" s="1">
        <f>SUM(OSRRefD21_9x_9)</f>
        <v>0</v>
      </c>
      <c r="N57" s="1">
        <f>SUM(OSRRefE21_9x_0)</f>
        <v>0</v>
      </c>
      <c r="O57" s="1">
        <f>SUM(OSRRefE21_9x_1)</f>
        <v>0</v>
      </c>
      <c r="Q57" s="2">
        <f>SUM(OSRRefD20_9x)+IFERROR(SUM(OSRRefE20_9x),0)</f>
        <v>498</v>
      </c>
    </row>
    <row r="58" spans="1:17" s="34" customFormat="1" hidden="1" outlineLevel="1" x14ac:dyDescent="0.25">
      <c r="A58" s="35"/>
      <c r="B58" s="10" t="str">
        <f>CONCATENATE("          ","6376", " - ","TRAINING")</f>
        <v xml:space="preserve">          6376 - TRAINING</v>
      </c>
      <c r="C58" s="11"/>
      <c r="D58" s="2"/>
      <c r="E58" s="2"/>
      <c r="F58" s="2"/>
      <c r="G58" s="2"/>
      <c r="H58" s="2"/>
      <c r="I58" s="2">
        <v>99</v>
      </c>
      <c r="J58" s="2"/>
      <c r="K58" s="2"/>
      <c r="L58" s="2">
        <v>399</v>
      </c>
      <c r="M58" s="2"/>
      <c r="N58" s="2"/>
      <c r="O58" s="2"/>
      <c r="P58" s="9"/>
      <c r="Q58" s="2">
        <f>SUM(OSRRefD21_9_0x)+IFERROR(SUM(OSRRefE21_9_0x),0)</f>
        <v>498</v>
      </c>
    </row>
    <row r="59" spans="1:17" s="34" customFormat="1" collapsed="1" x14ac:dyDescent="0.25">
      <c r="A59" s="35"/>
      <c r="B59" s="11" t="str">
        <f>CONCATENATE("     ","Travel                                            ")</f>
        <v xml:space="preserve">     Travel  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0</v>
      </c>
      <c r="L59" s="1">
        <f>SUM(OSRRefD21_10x_8)</f>
        <v>0</v>
      </c>
      <c r="M59" s="1">
        <f>SUM(OSRRefD21_10x_9)</f>
        <v>0</v>
      </c>
      <c r="N59" s="1">
        <f>SUM(OSRRefE21_10x_0)</f>
        <v>625</v>
      </c>
      <c r="O59" s="1">
        <f>SUM(OSRRefE21_10x_1)</f>
        <v>625</v>
      </c>
      <c r="Q59" s="2">
        <f>SUM(OSRRefD20_10x)+IFERROR(SUM(OSRRefE20_10x),0)</f>
        <v>1250</v>
      </c>
    </row>
    <row r="60" spans="1:17" s="34" customFormat="1" hidden="1" outlineLevel="1" x14ac:dyDescent="0.25">
      <c r="A60" s="35"/>
      <c r="B60" s="10" t="str">
        <f>CONCATENATE("          ","6292", " - ","TRAVEL/CONFERENCE")</f>
        <v xml:space="preserve">          6292 - TRAVEL/CONFERENCE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625</v>
      </c>
      <c r="O60" s="2">
        <v>625</v>
      </c>
      <c r="P60" s="9"/>
      <c r="Q60" s="2">
        <f>SUM(OSRRefD21_10_0x)+IFERROR(SUM(OSRRefE21_10_0x),0)</f>
        <v>1250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3"/>
      <c r="B62" s="16" t="s">
        <v>291</v>
      </c>
      <c r="C62" s="22"/>
      <c r="D62" s="3">
        <f t="shared" ref="D62:M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>
        <f t="shared" si="4"/>
        <v>0</v>
      </c>
      <c r="L62" s="3">
        <f t="shared" si="4"/>
        <v>0</v>
      </c>
      <c r="M62" s="3">
        <f t="shared" si="4"/>
        <v>0</v>
      </c>
      <c r="N62" s="3"/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274</v>
      </c>
      <c r="C64" s="17"/>
      <c r="D64" s="8">
        <f t="shared" ref="D64:O64" si="5">IFERROR(+D14-D17+D62, 0)</f>
        <v>-56908.759999999995</v>
      </c>
      <c r="E64" s="8">
        <f t="shared" si="5"/>
        <v>-49895.869999999995</v>
      </c>
      <c r="F64" s="8">
        <f t="shared" si="5"/>
        <v>-43962.689999999995</v>
      </c>
      <c r="G64" s="8">
        <f t="shared" si="5"/>
        <v>-60340.259999999995</v>
      </c>
      <c r="H64" s="8">
        <f t="shared" si="5"/>
        <v>-50583.669999999984</v>
      </c>
      <c r="I64" s="8">
        <f t="shared" si="5"/>
        <v>-44863.989999999991</v>
      </c>
      <c r="J64" s="8">
        <f t="shared" si="5"/>
        <v>-50620.13</v>
      </c>
      <c r="K64" s="8">
        <f t="shared" si="5"/>
        <v>-48909.27</v>
      </c>
      <c r="L64" s="8">
        <f t="shared" si="5"/>
        <v>-50075.959999999992</v>
      </c>
      <c r="M64" s="8">
        <f t="shared" si="5"/>
        <v>-52587.89</v>
      </c>
      <c r="N64" s="8">
        <f t="shared" si="5"/>
        <v>-46709.223076923052</v>
      </c>
      <c r="O64" s="8">
        <f t="shared" si="5"/>
        <v>-48974.223076923052</v>
      </c>
      <c r="Q64" s="8">
        <f>IFERROR(+Q14-Q17+Q62, 0)</f>
        <v>-604431.93615384609</v>
      </c>
    </row>
    <row r="65" spans="1:17" s="6" customFormat="1" x14ac:dyDescent="0.2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7">
        <f t="shared" ref="D69:O69" si="7">IFERROR(+D64-D67, 0)</f>
        <v>-56908.759999999995</v>
      </c>
      <c r="E69" s="7">
        <f t="shared" si="7"/>
        <v>-49895.869999999995</v>
      </c>
      <c r="F69" s="7">
        <f t="shared" si="7"/>
        <v>-43962.689999999995</v>
      </c>
      <c r="G69" s="7">
        <f t="shared" si="7"/>
        <v>-60340.259999999995</v>
      </c>
      <c r="H69" s="7">
        <f t="shared" si="7"/>
        <v>-50583.669999999984</v>
      </c>
      <c r="I69" s="7">
        <f t="shared" si="7"/>
        <v>-44863.989999999991</v>
      </c>
      <c r="J69" s="7">
        <f t="shared" si="7"/>
        <v>-50620.13</v>
      </c>
      <c r="K69" s="7">
        <f t="shared" si="7"/>
        <v>-48909.27</v>
      </c>
      <c r="L69" s="7">
        <f t="shared" si="7"/>
        <v>-50075.959999999992</v>
      </c>
      <c r="M69" s="7">
        <f t="shared" si="7"/>
        <v>-52587.89</v>
      </c>
      <c r="N69" s="7">
        <f t="shared" si="7"/>
        <v>-46709.223076923052</v>
      </c>
      <c r="O69" s="7">
        <f t="shared" si="7"/>
        <v>-48974.223076923052</v>
      </c>
      <c r="Q69" s="7">
        <f>IFERROR(+Q64-Q67, 0)</f>
        <v>-604431.93615384609</v>
      </c>
    </row>
    <row r="70" spans="1:17" ht="15.75" thickTop="1" x14ac:dyDescent="0.2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292</v>
      </c>
      <c r="C73" s="17"/>
      <c r="D73" s="7">
        <f t="shared" ref="D73:O73" si="9">IFERROR(SUM(D69:D72), 0)</f>
        <v>-56908.759999999995</v>
      </c>
      <c r="E73" s="7">
        <f t="shared" si="9"/>
        <v>-49895.869999999995</v>
      </c>
      <c r="F73" s="7">
        <f t="shared" si="9"/>
        <v>-43962.689999999995</v>
      </c>
      <c r="G73" s="7">
        <f t="shared" si="9"/>
        <v>-60340.259999999995</v>
      </c>
      <c r="H73" s="7">
        <f t="shared" si="9"/>
        <v>-50583.669999999984</v>
      </c>
      <c r="I73" s="7">
        <f t="shared" si="9"/>
        <v>-44863.989999999991</v>
      </c>
      <c r="J73" s="7">
        <f t="shared" si="9"/>
        <v>-50620.13</v>
      </c>
      <c r="K73" s="7">
        <f t="shared" si="9"/>
        <v>-48909.27</v>
      </c>
      <c r="L73" s="7">
        <f t="shared" si="9"/>
        <v>-50075.959999999992</v>
      </c>
      <c r="M73" s="7">
        <f t="shared" si="9"/>
        <v>-52587.89</v>
      </c>
      <c r="N73" s="7">
        <f t="shared" si="9"/>
        <v>-46709.223076923052</v>
      </c>
      <c r="O73" s="7">
        <f t="shared" si="9"/>
        <v>-48974.223076923052</v>
      </c>
      <c r="Q73" s="7">
        <f>IFERROR(SUM(Q69:Q72), 0)</f>
        <v>-604431.93615384609</v>
      </c>
    </row>
    <row r="74" spans="1:17" ht="15.75" thickTop="1" x14ac:dyDescent="0.2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25">
      <c r="A75" s="5"/>
      <c r="B75" s="27">
        <v>44330.012769791669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A76" s="5"/>
      <c r="B76" s="31" t="s">
        <v>54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25">
      <c r="A77" s="5"/>
      <c r="B77" s="26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9379.26</v>
      </c>
      <c r="E17" s="14">
        <f>SUM(OSRRefD20x_1)</f>
        <v>7276.8300000000008</v>
      </c>
      <c r="F17" s="14">
        <f>SUM(OSRRefD20x_2)</f>
        <v>7471.87</v>
      </c>
      <c r="G17" s="14">
        <f>SUM(OSRRefD20x_3)</f>
        <v>9324.8100000000013</v>
      </c>
      <c r="H17" s="14">
        <f>SUM(OSRRefD20x_4)</f>
        <v>6414.7800000000007</v>
      </c>
      <c r="I17" s="14">
        <f>SUM(OSRRefD20x_5)</f>
        <v>7720.61</v>
      </c>
      <c r="J17" s="14">
        <f>SUM(OSRRefD20x_6)</f>
        <v>8201.44</v>
      </c>
      <c r="K17" s="14">
        <f>SUM(OSRRefD20x_7)</f>
        <v>6657.22</v>
      </c>
      <c r="L17" s="14">
        <f>SUM(OSRRefD20x_8)</f>
        <v>7931.51</v>
      </c>
      <c r="M17" s="14">
        <f>SUM(OSRRefD20x_9)</f>
        <v>8195.52</v>
      </c>
      <c r="N17" s="14">
        <f>SUM(OSRRefE20x_0)</f>
        <v>7140.2521538461542</v>
      </c>
      <c r="O17" s="14">
        <f>SUM(OSRRefE20x_1)</f>
        <v>7290.2521538461542</v>
      </c>
      <c r="Q17" s="14">
        <f>SUM(OSRRefG20x)</f>
        <v>93004.354307692294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SUM(OSRRefD21_0x_7)</f>
        <v>2490.0799999999995</v>
      </c>
      <c r="L18" s="1">
        <f>SUM(OSRRefD21_0x_8)</f>
        <v>2547.5399999999995</v>
      </c>
      <c r="M18" s="1">
        <f>SUM(OSRRefD21_0x_9)</f>
        <v>2995.0099999999998</v>
      </c>
      <c r="N18" s="1">
        <f>SUM(OSRRefE21_0x_0)</f>
        <v>1825.2521538461542</v>
      </c>
      <c r="O18" s="1">
        <f>SUM(OSRRefE21_0x_1)</f>
        <v>1825.2521538461542</v>
      </c>
      <c r="Q18" s="2">
        <f>SUM(OSRRefD20_0x)+IFERROR(SUM(OSRRefE20_0x),0)</f>
        <v>29102.144307692302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322.3</v>
      </c>
      <c r="L19" s="2">
        <v>323.81</v>
      </c>
      <c r="M19" s="2">
        <v>486.32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4157.0420000000004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291.97000000000003</v>
      </c>
      <c r="L20" s="2">
        <v>292.88</v>
      </c>
      <c r="M20" s="2">
        <v>291.97000000000003</v>
      </c>
      <c r="N20" s="2">
        <v>291.06</v>
      </c>
      <c r="O20" s="2">
        <v>291.06</v>
      </c>
      <c r="P20" s="9"/>
      <c r="Q20" s="2">
        <f>SUM(OSRRefD21_0_1x)+IFERROR(SUM(OSRRefE21_0_1x),0)</f>
        <v>3615.67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699.91</v>
      </c>
      <c r="L21" s="2">
        <v>699.91</v>
      </c>
      <c r="M21" s="2">
        <v>699.91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8204.2923076923071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10.95</v>
      </c>
      <c r="L22" s="2">
        <v>10.99</v>
      </c>
      <c r="M22" s="2">
        <v>10.96</v>
      </c>
      <c r="N22" s="2">
        <v>10.92</v>
      </c>
      <c r="O22" s="2">
        <v>10.92</v>
      </c>
      <c r="P22" s="9"/>
      <c r="Q22" s="2">
        <f>SUM(OSRRefD21_0_3x)+IFERROR(SUM(OSRRefE21_0_3x),0)</f>
        <v>135.67000000000002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463.27</v>
      </c>
      <c r="L23" s="2">
        <v>463.27</v>
      </c>
      <c r="M23" s="2">
        <v>463.27</v>
      </c>
      <c r="N23" s="2">
        <v>0</v>
      </c>
      <c r="O23" s="2">
        <v>0</v>
      </c>
      <c r="P23" s="9"/>
      <c r="Q23" s="2">
        <f>SUM(OSRRefD21_0_4x)+IFERROR(SUM(OSRRefE21_0_4x),0)</f>
        <v>5095.9799999999996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387.96</v>
      </c>
      <c r="K25" s="2">
        <v>387.96</v>
      </c>
      <c r="L25" s="2">
        <v>387.96</v>
      </c>
      <c r="M25" s="2">
        <v>581.94000000000005</v>
      </c>
      <c r="N25" s="2">
        <v>420</v>
      </c>
      <c r="O25" s="2">
        <v>420</v>
      </c>
      <c r="P25" s="9"/>
      <c r="Q25" s="2">
        <f>SUM(OSRRefD21_0_6x)+IFERROR(SUM(OSRRefE21_0_6x),0)</f>
        <v>4007.7200000000003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193.72</v>
      </c>
      <c r="K26" s="2">
        <v>193.72</v>
      </c>
      <c r="L26" s="2">
        <v>193.72</v>
      </c>
      <c r="M26" s="2">
        <v>290.58</v>
      </c>
      <c r="N26" s="2">
        <v>168</v>
      </c>
      <c r="O26" s="2">
        <v>168</v>
      </c>
      <c r="P26" s="9"/>
      <c r="Q26" s="2">
        <f>SUM(OSRRefD21_0_7x)+IFERROR(SUM(OSRRefE21_0_7x),0)</f>
        <v>2466.92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>
        <v>64</v>
      </c>
      <c r="K27" s="2">
        <v>120</v>
      </c>
      <c r="L27" s="2">
        <v>175</v>
      </c>
      <c r="M27" s="2">
        <v>170.06</v>
      </c>
      <c r="N27" s="2"/>
      <c r="O27" s="2"/>
      <c r="P27" s="9"/>
      <c r="Q27" s="2">
        <f>SUM(OSRRefD21_0_8x)+IFERROR(SUM(OSRRefE21_0_8x),0)</f>
        <v>1418.85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SUM(OSRRefD21_1x_6)</f>
        <v>5114.75</v>
      </c>
      <c r="K28" s="1">
        <f>SUM(OSRRefD21_1x_7)</f>
        <v>3224.8</v>
      </c>
      <c r="L28" s="1">
        <f>SUM(OSRRefD21_1x_8)</f>
        <v>4294.43</v>
      </c>
      <c r="M28" s="1">
        <f>SUM(OSRRefD21_1x_9)</f>
        <v>4409.66</v>
      </c>
      <c r="N28" s="1">
        <f>SUM(OSRRefE21_1x_0)</f>
        <v>3738</v>
      </c>
      <c r="O28" s="1">
        <f>SUM(OSRRefE21_1x_1)</f>
        <v>3738</v>
      </c>
      <c r="Q28" s="2">
        <f>SUM(OSRRefD20_1x)+IFERROR(SUM(OSRRefE20_1x),0)</f>
        <v>49928.05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5114.75</v>
      </c>
      <c r="K30" s="2">
        <v>3224.8</v>
      </c>
      <c r="L30" s="2">
        <v>4294.43</v>
      </c>
      <c r="M30" s="2">
        <v>4409.66</v>
      </c>
      <c r="N30" s="2">
        <v>0</v>
      </c>
      <c r="O30" s="2">
        <v>0</v>
      </c>
      <c r="P30" s="9"/>
      <c r="Q30" s="2">
        <f>SUM(OSRRefD21_1_1x)+IFERROR(SUM(OSRRefE21_1_1x),0)</f>
        <v>42452.05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3738</v>
      </c>
      <c r="O32" s="2">
        <v>3738</v>
      </c>
      <c r="P32" s="9"/>
      <c r="Q32" s="2">
        <f>SUM(OSRRefD21_1_3x)+IFERROR(SUM(OSRRefE21_1_3x),0)</f>
        <v>7476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-238.8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SUM(OSRRefE21_2x_0)</f>
        <v>0</v>
      </c>
      <c r="O39" s="1">
        <f>SUM(OSRRefE21_2x_1)</f>
        <v>0</v>
      </c>
      <c r="Q39" s="2">
        <f>SUM(OSRRefD20_2x)+IFERROR(SUM(OSRRefE20_2x),0)</f>
        <v>-238.8</v>
      </c>
    </row>
    <row r="40" spans="1:17" s="34" customFormat="1" hidden="1" outlineLevel="1" x14ac:dyDescent="0.25">
      <c r="A40" s="35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/>
      <c r="G40" s="2"/>
      <c r="H40" s="2"/>
      <c r="I40" s="2"/>
      <c r="J40" s="2">
        <v>-238.8</v>
      </c>
      <c r="K40" s="2"/>
      <c r="L40" s="2"/>
      <c r="M40" s="2"/>
      <c r="N40" s="2"/>
      <c r="O40" s="2"/>
      <c r="P40" s="9"/>
      <c r="Q40" s="2">
        <f>SUM(OSRRefD21_2_0x)+IFERROR(SUM(OSRRefE21_2_0x),0)</f>
        <v>-238.8</v>
      </c>
    </row>
    <row r="41" spans="1:17" s="34" customFormat="1" collapsed="1" x14ac:dyDescent="0.25">
      <c r="A41" s="35"/>
      <c r="B41" s="11" t="str">
        <f>CONCATENATE("     ","Insurance                                         ")</f>
        <v xml:space="preserve">     Insurance                                         </v>
      </c>
      <c r="C41" s="11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SUM(OSRRefD21_3x_6)</f>
        <v>24.56</v>
      </c>
      <c r="K41" s="1">
        <f>SUM(OSRRefD21_3x_7)</f>
        <v>24.56</v>
      </c>
      <c r="L41" s="1">
        <f>SUM(OSRRefD21_3x_8)</f>
        <v>24.56</v>
      </c>
      <c r="M41" s="1">
        <f>SUM(OSRRefD21_3x_9)</f>
        <v>24.56</v>
      </c>
      <c r="N41" s="1">
        <f>SUM(OSRRefE21_3x_0)</f>
        <v>27</v>
      </c>
      <c r="O41" s="1">
        <f>SUM(OSRRefE21_3x_1)</f>
        <v>27</v>
      </c>
      <c r="Q41" s="2">
        <f>SUM(OSRRefD20_3x)+IFERROR(SUM(OSRRefE20_3x),0)</f>
        <v>299.60000000000002</v>
      </c>
    </row>
    <row r="42" spans="1:17" s="34" customFormat="1" hidden="1" outlineLevel="1" x14ac:dyDescent="0.25">
      <c r="A42" s="35"/>
      <c r="B42" s="10" t="str">
        <f>CONCATENATE("          ","6314", " - ","LIABILITY INSURANCE")</f>
        <v xml:space="preserve">          6314 - LIABILITY INSURANCE</v>
      </c>
      <c r="C42" s="11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24.56</v>
      </c>
      <c r="K42" s="2">
        <v>24.56</v>
      </c>
      <c r="L42" s="2">
        <v>24.56</v>
      </c>
      <c r="M42" s="2">
        <v>24.56</v>
      </c>
      <c r="N42" s="2">
        <v>27</v>
      </c>
      <c r="O42" s="2">
        <v>27</v>
      </c>
      <c r="P42" s="9"/>
      <c r="Q42" s="2">
        <f>SUM(OSRRefD21_3_0x)+IFERROR(SUM(OSRRefE21_3_0x),0)</f>
        <v>299.60000000000002</v>
      </c>
    </row>
    <row r="43" spans="1:17" s="34" customFormat="1" collapsed="1" x14ac:dyDescent="0.25">
      <c r="A43" s="35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SUM(OSRRefD21_4x_6)</f>
        <v>891.98</v>
      </c>
      <c r="K43" s="1">
        <f>SUM(OSRRefD21_4x_7)</f>
        <v>891.98</v>
      </c>
      <c r="L43" s="1">
        <f>SUM(OSRRefD21_4x_8)</f>
        <v>891.98</v>
      </c>
      <c r="M43" s="1">
        <f>SUM(OSRRefD21_4x_9)</f>
        <v>891.98</v>
      </c>
      <c r="N43" s="1">
        <f>SUM(OSRRefE21_4x_0)</f>
        <v>1500</v>
      </c>
      <c r="O43" s="1">
        <f>SUM(OSRRefE21_4x_1)</f>
        <v>1500</v>
      </c>
      <c r="Q43" s="2">
        <f>SUM(OSRRefD20_4x)+IFERROR(SUM(OSRRefE20_4x),0)</f>
        <v>13068.21</v>
      </c>
    </row>
    <row r="44" spans="1:17" s="34" customFormat="1" hidden="1" outlineLevel="1" x14ac:dyDescent="0.25">
      <c r="A44" s="35"/>
      <c r="B44" s="10" t="str">
        <f>CONCATENATE("          ","6373", " - ","MAINTENANCE CONTRACTS")</f>
        <v xml:space="preserve">          6373 - MAINTENANCE CONTRACTS</v>
      </c>
      <c r="C44" s="11"/>
      <c r="D44" s="2">
        <v>866</v>
      </c>
      <c r="E44" s="2">
        <v>866</v>
      </c>
      <c r="F44" s="2">
        <v>866</v>
      </c>
      <c r="G44" s="2">
        <v>866</v>
      </c>
      <c r="H44" s="2"/>
      <c r="I44" s="2">
        <v>866</v>
      </c>
      <c r="J44" s="2">
        <v>891.98</v>
      </c>
      <c r="K44" s="2">
        <v>891.98</v>
      </c>
      <c r="L44" s="2">
        <v>891.98</v>
      </c>
      <c r="M44" s="2">
        <v>891.98</v>
      </c>
      <c r="N44" s="2">
        <v>1500</v>
      </c>
      <c r="O44" s="2">
        <v>1500</v>
      </c>
      <c r="P44" s="9"/>
      <c r="Q44" s="2">
        <f>SUM(OSRRefD21_4_0x)+IFERROR(SUM(OSRRefE21_4_0x),0)</f>
        <v>10897.919999999998</v>
      </c>
    </row>
    <row r="45" spans="1:17" s="34" customFormat="1" hidden="1" outlineLevel="1" x14ac:dyDescent="0.25">
      <c r="A45" s="35"/>
      <c r="B45" s="10" t="str">
        <f>CONCATENATE("          ","6375", " - ","OUTSIDE REPAIRS &amp; MAINTENANCE")</f>
        <v xml:space="preserve">          6375 - OUTSIDE REPAIRS &amp; MAINTENANCE</v>
      </c>
      <c r="C45" s="11"/>
      <c r="D45" s="2">
        <v>819.19</v>
      </c>
      <c r="E45" s="2"/>
      <c r="F45" s="2"/>
      <c r="G45" s="2">
        <v>866</v>
      </c>
      <c r="H45" s="2">
        <v>485.1</v>
      </c>
      <c r="I45" s="2"/>
      <c r="J45" s="2"/>
      <c r="K45" s="2"/>
      <c r="L45" s="2"/>
      <c r="M45" s="2"/>
      <c r="N45" s="2"/>
      <c r="O45" s="2"/>
      <c r="P45" s="9"/>
      <c r="Q45" s="2">
        <f>SUM(OSRRefD21_4_1x)+IFERROR(SUM(OSRRefE21_4_1x),0)</f>
        <v>2170.29</v>
      </c>
    </row>
    <row r="46" spans="1:17" s="34" customFormat="1" collapsed="1" x14ac:dyDescent="0.25">
      <c r="A46" s="35"/>
      <c r="B46" s="11" t="str">
        <f>CONCATENATE("     ","Services                                          ")</f>
        <v xml:space="preserve">     Services                                          </v>
      </c>
      <c r="C46" s="11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0</v>
      </c>
      <c r="J46" s="1">
        <f>SUM(OSRRefD21_5x_6)</f>
        <v>0</v>
      </c>
      <c r="K46" s="1">
        <f>SUM(OSRRefD21_5x_7)</f>
        <v>0</v>
      </c>
      <c r="L46" s="1">
        <f>SUM(OSRRefD21_5x_8)</f>
        <v>0</v>
      </c>
      <c r="M46" s="1">
        <f>SUM(OSRRefD21_5x_9)</f>
        <v>0</v>
      </c>
      <c r="N46" s="1">
        <f>SUM(OSRRefE21_5x_0)</f>
        <v>25</v>
      </c>
      <c r="O46" s="1">
        <f>SUM(OSRRefE21_5x_1)</f>
        <v>25</v>
      </c>
      <c r="Q46" s="2">
        <f>SUM(OSRRefD20_5x)+IFERROR(SUM(OSRRefE20_5x),0)</f>
        <v>50</v>
      </c>
    </row>
    <row r="47" spans="1:17" s="34" customFormat="1" hidden="1" outlineLevel="1" x14ac:dyDescent="0.25">
      <c r="A47" s="35"/>
      <c r="B47" s="10" t="str">
        <f>CONCATENATE("          ","6286", " - ","LAUNDRY EXPENSE")</f>
        <v xml:space="preserve">          6286 - LAUNDRY EXPENSE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25</v>
      </c>
      <c r="O47" s="2">
        <v>25</v>
      </c>
      <c r="P47" s="9"/>
      <c r="Q47" s="2">
        <f>SUM(OSRRefD21_5_0x)+IFERROR(SUM(OSRRefE21_5_0x),0)</f>
        <v>50</v>
      </c>
    </row>
    <row r="48" spans="1:17" s="34" customFormat="1" collapsed="1" x14ac:dyDescent="0.25">
      <c r="A48" s="35"/>
      <c r="B48" s="11" t="str">
        <f>CONCATENATE("     ","Supplies                                          ")</f>
        <v xml:space="preserve">     Supplies           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15.92</v>
      </c>
      <c r="G48" s="1">
        <f>SUM(OSRRefD21_6x_3)</f>
        <v>0</v>
      </c>
      <c r="H48" s="1">
        <f>SUM(OSRRefD21_6x_4)</f>
        <v>66.12</v>
      </c>
      <c r="I48" s="1">
        <f>SUM(OSRRefD21_6x_5)</f>
        <v>0</v>
      </c>
      <c r="J48" s="1">
        <f>SUM(OSRRefD21_6x_6)</f>
        <v>0</v>
      </c>
      <c r="K48" s="1">
        <f>SUM(OSRRefD21_6x_7)</f>
        <v>2.8</v>
      </c>
      <c r="L48" s="1">
        <f>SUM(OSRRefD21_6x_8)</f>
        <v>0</v>
      </c>
      <c r="M48" s="1">
        <f>SUM(OSRRefD21_6x_9)</f>
        <v>1.31</v>
      </c>
      <c r="N48" s="1">
        <f>SUM(OSRRefE21_6x_0)</f>
        <v>0</v>
      </c>
      <c r="O48" s="1">
        <f>SUM(OSRRefE21_6x_1)</f>
        <v>0</v>
      </c>
      <c r="Q48" s="2">
        <f>SUM(OSRRefD20_6x)+IFERROR(SUM(OSRRefE20_6x),0)</f>
        <v>86.15</v>
      </c>
    </row>
    <row r="49" spans="1:17" s="34" customFormat="1" hidden="1" outlineLevel="1" x14ac:dyDescent="0.25">
      <c r="A49" s="35"/>
      <c r="B49" s="10" t="str">
        <f>CONCATENATE("          ","6235", " - ","COVID-19 EXPENSES")</f>
        <v xml:space="preserve">          6235 - COVID-19 EXPENSES</v>
      </c>
      <c r="C49" s="11"/>
      <c r="D49" s="2"/>
      <c r="E49" s="2"/>
      <c r="F49" s="2"/>
      <c r="G49" s="2"/>
      <c r="H49" s="2">
        <v>66.12</v>
      </c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66.12</v>
      </c>
    </row>
    <row r="50" spans="1:17" s="34" customFormat="1" hidden="1" outlineLevel="1" x14ac:dyDescent="0.25">
      <c r="A50" s="35"/>
      <c r="B50" s="10" t="str">
        <f>CONCATENATE("          ","6241", " - ","OFFICE EXPENSE")</f>
        <v xml:space="preserve">          6241 - OFFICE EXPENSE</v>
      </c>
      <c r="C50" s="11"/>
      <c r="D50" s="2"/>
      <c r="E50" s="2"/>
      <c r="F50" s="2">
        <v>15.92</v>
      </c>
      <c r="G50" s="2"/>
      <c r="H50" s="2"/>
      <c r="I50" s="2"/>
      <c r="J50" s="2"/>
      <c r="K50" s="2">
        <v>2.8</v>
      </c>
      <c r="L50" s="2"/>
      <c r="M50" s="2">
        <v>1.31</v>
      </c>
      <c r="N50" s="2"/>
      <c r="O50" s="2"/>
      <c r="P50" s="9"/>
      <c r="Q50" s="2">
        <f>SUM(OSRRefD21_6_1x)+IFERROR(SUM(OSRRefE21_6_1x),0)</f>
        <v>20.029999999999998</v>
      </c>
    </row>
    <row r="51" spans="1:17" s="34" customFormat="1" collapsed="1" x14ac:dyDescent="0.25">
      <c r="A51" s="35"/>
      <c r="B51" s="11" t="str">
        <f>CONCATENATE("     ","Telephone/Data Lines                              ")</f>
        <v xml:space="preserve">     Telephone/Data Lines                              </v>
      </c>
      <c r="C51" s="11"/>
      <c r="D51" s="1">
        <f>SUM(OSRRefD21_7x_0)</f>
        <v>73</v>
      </c>
      <c r="E51" s="1">
        <f>SUM(OSRRefD21_7x_1)</f>
        <v>50</v>
      </c>
      <c r="F51" s="1">
        <f>SUM(OSRRefD21_7x_2)</f>
        <v>225</v>
      </c>
      <c r="G51" s="1">
        <f>SUM(OSRRefD21_7x_3)</f>
        <v>-77</v>
      </c>
      <c r="H51" s="1">
        <f>SUM(OSRRefD21_7x_4)</f>
        <v>73</v>
      </c>
      <c r="I51" s="1">
        <f>SUM(OSRRefD21_7x_5)</f>
        <v>223</v>
      </c>
      <c r="J51" s="1">
        <f>SUM(OSRRefD21_7x_6)</f>
        <v>-127</v>
      </c>
      <c r="K51" s="1">
        <f>SUM(OSRRefD21_7x_7)</f>
        <v>23</v>
      </c>
      <c r="L51" s="1">
        <f>SUM(OSRRefD21_7x_8)</f>
        <v>173</v>
      </c>
      <c r="M51" s="1">
        <f>SUM(OSRRefD21_7x_9)</f>
        <v>-127</v>
      </c>
      <c r="N51" s="1">
        <f>SUM(OSRRefE21_7x_0)</f>
        <v>25</v>
      </c>
      <c r="O51" s="1">
        <f>SUM(OSRRefE21_7x_1)</f>
        <v>175</v>
      </c>
      <c r="Q51" s="2">
        <f>SUM(OSRRefD20_7x)+IFERROR(SUM(OSRRefE20_7x),0)</f>
        <v>709</v>
      </c>
    </row>
    <row r="52" spans="1:17" s="34" customFormat="1" hidden="1" outlineLevel="1" x14ac:dyDescent="0.25">
      <c r="A52" s="35"/>
      <c r="B52" s="10" t="str">
        <f>CONCATENATE("          ","6309", " - ","TELEPHONE")</f>
        <v xml:space="preserve">          6309 - TELEPHONE</v>
      </c>
      <c r="C52" s="11"/>
      <c r="D52" s="2">
        <v>73</v>
      </c>
      <c r="E52" s="2">
        <v>50</v>
      </c>
      <c r="F52" s="2">
        <v>225</v>
      </c>
      <c r="G52" s="2">
        <v>-77</v>
      </c>
      <c r="H52" s="2">
        <v>73</v>
      </c>
      <c r="I52" s="2">
        <v>223</v>
      </c>
      <c r="J52" s="2">
        <v>-127</v>
      </c>
      <c r="K52" s="2">
        <v>23</v>
      </c>
      <c r="L52" s="2">
        <v>173</v>
      </c>
      <c r="M52" s="2">
        <v>-127</v>
      </c>
      <c r="N52" s="2">
        <v>25</v>
      </c>
      <c r="O52" s="2">
        <v>175</v>
      </c>
      <c r="P52" s="9"/>
      <c r="Q52" s="2">
        <f>SUM(OSRRefD21_7_0x)+IFERROR(SUM(OSRRefE21_7_0x),0)</f>
        <v>709</v>
      </c>
    </row>
    <row r="53" spans="1:17" s="30" customFormat="1" x14ac:dyDescent="0.25">
      <c r="A53" s="21"/>
      <c r="B53" s="21"/>
      <c r="C53" s="2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9" customFormat="1" x14ac:dyDescent="0.25">
      <c r="A54" s="23"/>
      <c r="B54" s="16" t="s">
        <v>291</v>
      </c>
      <c r="C54" s="22"/>
      <c r="D54" s="3">
        <f t="shared" ref="D54:M54" si="4">0</f>
        <v>0</v>
      </c>
      <c r="E54" s="3">
        <f t="shared" si="4"/>
        <v>0</v>
      </c>
      <c r="F54" s="3">
        <f t="shared" si="4"/>
        <v>0</v>
      </c>
      <c r="G54" s="3">
        <f t="shared" si="4"/>
        <v>0</v>
      </c>
      <c r="H54" s="3">
        <f t="shared" si="4"/>
        <v>0</v>
      </c>
      <c r="I54" s="3">
        <f t="shared" si="4"/>
        <v>0</v>
      </c>
      <c r="J54" s="3">
        <f t="shared" si="4"/>
        <v>0</v>
      </c>
      <c r="K54" s="3">
        <f t="shared" si="4"/>
        <v>0</v>
      </c>
      <c r="L54" s="3">
        <f t="shared" si="4"/>
        <v>0</v>
      </c>
      <c r="M54" s="3">
        <f t="shared" si="4"/>
        <v>0</v>
      </c>
      <c r="N54" s="3"/>
      <c r="O54" s="3"/>
      <c r="Q54" s="2">
        <f>SUM(OSRRefD23_0x)+IFERROR(SUM(OSRRefE23_0x),0)</f>
        <v>0</v>
      </c>
    </row>
    <row r="55" spans="1:17" x14ac:dyDescent="0.25">
      <c r="A55" s="5"/>
      <c r="B55" s="6"/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x14ac:dyDescent="0.25">
      <c r="A56" s="6"/>
      <c r="B56" s="17" t="s">
        <v>274</v>
      </c>
      <c r="C56" s="17"/>
      <c r="D56" s="8">
        <f t="shared" ref="D56:O56" si="5">IFERROR(+D14-D17+D54, 0)</f>
        <v>-9379.26</v>
      </c>
      <c r="E56" s="8">
        <f t="shared" si="5"/>
        <v>-7276.8300000000008</v>
      </c>
      <c r="F56" s="8">
        <f t="shared" si="5"/>
        <v>-7471.87</v>
      </c>
      <c r="G56" s="8">
        <f t="shared" si="5"/>
        <v>-9324.8100000000013</v>
      </c>
      <c r="H56" s="8">
        <f t="shared" si="5"/>
        <v>-6414.7800000000007</v>
      </c>
      <c r="I56" s="8">
        <f t="shared" si="5"/>
        <v>-7720.61</v>
      </c>
      <c r="J56" s="8">
        <f t="shared" si="5"/>
        <v>-8201.44</v>
      </c>
      <c r="K56" s="8">
        <f t="shared" si="5"/>
        <v>-6657.22</v>
      </c>
      <c r="L56" s="8">
        <f t="shared" si="5"/>
        <v>-7931.51</v>
      </c>
      <c r="M56" s="8">
        <f t="shared" si="5"/>
        <v>-8195.52</v>
      </c>
      <c r="N56" s="8">
        <f t="shared" si="5"/>
        <v>-7140.2521538461542</v>
      </c>
      <c r="O56" s="8">
        <f t="shared" si="5"/>
        <v>-7290.2521538461542</v>
      </c>
      <c r="Q56" s="8">
        <f>IFERROR(+Q14-Q17+Q54, 0)</f>
        <v>-93004.354307692294</v>
      </c>
    </row>
    <row r="57" spans="1:17" s="6" customFormat="1" x14ac:dyDescent="0.25">
      <c r="B57" s="16"/>
      <c r="C57" s="16"/>
      <c r="D57" s="4">
        <f t="shared" ref="D57:O57" si="6">IFERROR(D56/D10, 0)</f>
        <v>0</v>
      </c>
      <c r="E57" s="4">
        <f t="shared" si="6"/>
        <v>0</v>
      </c>
      <c r="F57" s="4">
        <f t="shared" si="6"/>
        <v>0</v>
      </c>
      <c r="G57" s="4">
        <f t="shared" si="6"/>
        <v>0</v>
      </c>
      <c r="H57" s="4">
        <f t="shared" si="6"/>
        <v>0</v>
      </c>
      <c r="I57" s="4">
        <f t="shared" si="6"/>
        <v>0</v>
      </c>
      <c r="J57" s="4">
        <f t="shared" si="6"/>
        <v>0</v>
      </c>
      <c r="K57" s="4">
        <f t="shared" si="6"/>
        <v>0</v>
      </c>
      <c r="L57" s="4">
        <f t="shared" si="6"/>
        <v>0</v>
      </c>
      <c r="M57" s="4">
        <f t="shared" si="6"/>
        <v>0</v>
      </c>
      <c r="N57" s="4">
        <f t="shared" si="6"/>
        <v>0</v>
      </c>
      <c r="O57" s="4">
        <f t="shared" si="6"/>
        <v>0</v>
      </c>
      <c r="P57" s="18"/>
      <c r="Q57" s="4">
        <f>IFERROR(Q56/Q10, 0)</f>
        <v>0</v>
      </c>
    </row>
    <row r="58" spans="1:17" x14ac:dyDescent="0.25">
      <c r="A58" s="5"/>
      <c r="B58" s="6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5" customFormat="1" x14ac:dyDescent="0.25">
      <c r="A59" s="25"/>
      <c r="B59" s="6" t="s">
        <v>125</v>
      </c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2">
        <f>SUM(OSRRefD28_0x)+IFERROR(SUM(OSRRefE28_0x),0)</f>
        <v>0</v>
      </c>
    </row>
    <row r="60" spans="1:17" x14ac:dyDescent="0.25">
      <c r="A60" s="5"/>
      <c r="B60" s="6"/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124</v>
      </c>
      <c r="C61" s="17"/>
      <c r="D61" s="7">
        <f t="shared" ref="D61:O61" si="7">IFERROR(+D56-D59, 0)</f>
        <v>-9379.26</v>
      </c>
      <c r="E61" s="7">
        <f t="shared" si="7"/>
        <v>-7276.8300000000008</v>
      </c>
      <c r="F61" s="7">
        <f t="shared" si="7"/>
        <v>-7471.87</v>
      </c>
      <c r="G61" s="7">
        <f t="shared" si="7"/>
        <v>-9324.8100000000013</v>
      </c>
      <c r="H61" s="7">
        <f t="shared" si="7"/>
        <v>-6414.7800000000007</v>
      </c>
      <c r="I61" s="7">
        <f t="shared" si="7"/>
        <v>-7720.61</v>
      </c>
      <c r="J61" s="7">
        <f t="shared" si="7"/>
        <v>-8201.44</v>
      </c>
      <c r="K61" s="7">
        <f t="shared" si="7"/>
        <v>-6657.22</v>
      </c>
      <c r="L61" s="7">
        <f t="shared" si="7"/>
        <v>-7931.51</v>
      </c>
      <c r="M61" s="7">
        <f t="shared" si="7"/>
        <v>-8195.52</v>
      </c>
      <c r="N61" s="7">
        <f t="shared" si="7"/>
        <v>-7140.2521538461542</v>
      </c>
      <c r="O61" s="7">
        <f t="shared" si="7"/>
        <v>-7290.2521538461542</v>
      </c>
      <c r="Q61" s="7">
        <f>IFERROR(+Q56-Q59, 0)</f>
        <v>-93004.354307692294</v>
      </c>
    </row>
    <row r="62" spans="1:17" ht="15.75" thickTop="1" x14ac:dyDescent="0.25">
      <c r="A62" s="5"/>
      <c r="B62" s="5"/>
      <c r="C62" s="5"/>
      <c r="D62" s="4">
        <f t="shared" ref="D62:O62" si="8">IFERROR(D61/D10, 0)</f>
        <v>0</v>
      </c>
      <c r="E62" s="4">
        <f t="shared" si="8"/>
        <v>0</v>
      </c>
      <c r="F62" s="4">
        <f t="shared" si="8"/>
        <v>0</v>
      </c>
      <c r="G62" s="4">
        <f t="shared" si="8"/>
        <v>0</v>
      </c>
      <c r="H62" s="4">
        <f t="shared" si="8"/>
        <v>0</v>
      </c>
      <c r="I62" s="4">
        <f t="shared" si="8"/>
        <v>0</v>
      </c>
      <c r="J62" s="4">
        <f t="shared" si="8"/>
        <v>0</v>
      </c>
      <c r="K62" s="4">
        <f t="shared" si="8"/>
        <v>0</v>
      </c>
      <c r="L62" s="4">
        <f t="shared" si="8"/>
        <v>0</v>
      </c>
      <c r="M62" s="4">
        <f t="shared" si="8"/>
        <v>0</v>
      </c>
      <c r="N62" s="4">
        <f t="shared" si="8"/>
        <v>0</v>
      </c>
      <c r="O62" s="4">
        <f t="shared" si="8"/>
        <v>0</v>
      </c>
      <c r="P62" s="18"/>
      <c r="Q62" s="4">
        <f>IFERROR(Q61/Q10, 0)</f>
        <v>0</v>
      </c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ht="15.75" thickBot="1" x14ac:dyDescent="0.3">
      <c r="A65" s="6"/>
      <c r="B65" s="17" t="s">
        <v>292</v>
      </c>
      <c r="C65" s="17"/>
      <c r="D65" s="7">
        <f t="shared" ref="D65:O65" si="9">IFERROR(SUM(D61:D64), 0)</f>
        <v>-9379.26</v>
      </c>
      <c r="E65" s="7">
        <f t="shared" si="9"/>
        <v>-7276.8300000000008</v>
      </c>
      <c r="F65" s="7">
        <f t="shared" si="9"/>
        <v>-7471.87</v>
      </c>
      <c r="G65" s="7">
        <f t="shared" si="9"/>
        <v>-9324.8100000000013</v>
      </c>
      <c r="H65" s="7">
        <f t="shared" si="9"/>
        <v>-6414.7800000000007</v>
      </c>
      <c r="I65" s="7">
        <f t="shared" si="9"/>
        <v>-7720.61</v>
      </c>
      <c r="J65" s="7">
        <f t="shared" si="9"/>
        <v>-8201.44</v>
      </c>
      <c r="K65" s="7">
        <f t="shared" si="9"/>
        <v>-6657.22</v>
      </c>
      <c r="L65" s="7">
        <f t="shared" si="9"/>
        <v>-7931.51</v>
      </c>
      <c r="M65" s="7">
        <f t="shared" si="9"/>
        <v>-8195.52</v>
      </c>
      <c r="N65" s="7">
        <f t="shared" si="9"/>
        <v>-7140.2521538461542</v>
      </c>
      <c r="O65" s="7">
        <f t="shared" si="9"/>
        <v>-7290.2521538461542</v>
      </c>
      <c r="Q65" s="7">
        <f>IFERROR(SUM(Q61:Q64), 0)</f>
        <v>-93004.354307692294</v>
      </c>
    </row>
    <row r="66" spans="1:17" ht="15.75" thickTop="1" x14ac:dyDescent="0.25">
      <c r="A66" s="5"/>
      <c r="C66" s="5"/>
      <c r="D66" s="4">
        <f t="shared" ref="D66:O66" si="10">IFERROR(D65/D10, 0)</f>
        <v>0</v>
      </c>
      <c r="E66" s="4">
        <f t="shared" si="10"/>
        <v>0</v>
      </c>
      <c r="F66" s="4">
        <f t="shared" si="10"/>
        <v>0</v>
      </c>
      <c r="G66" s="4">
        <f t="shared" si="10"/>
        <v>0</v>
      </c>
      <c r="H66" s="4">
        <f t="shared" si="10"/>
        <v>0</v>
      </c>
      <c r="I66" s="4">
        <f t="shared" si="10"/>
        <v>0</v>
      </c>
      <c r="J66" s="4">
        <f t="shared" si="10"/>
        <v>0</v>
      </c>
      <c r="K66" s="4">
        <f t="shared" si="10"/>
        <v>0</v>
      </c>
      <c r="L66" s="4">
        <f t="shared" si="10"/>
        <v>0</v>
      </c>
      <c r="M66" s="4">
        <f t="shared" si="10"/>
        <v>0</v>
      </c>
      <c r="N66" s="4">
        <f t="shared" si="10"/>
        <v>0</v>
      </c>
      <c r="O66" s="4">
        <f t="shared" si="10"/>
        <v>0</v>
      </c>
      <c r="P66" s="18"/>
      <c r="Q66" s="4">
        <f>IFERROR(Q65/Q10, 0)</f>
        <v>0</v>
      </c>
    </row>
    <row r="67" spans="1:17" x14ac:dyDescent="0.25">
      <c r="A67" s="5"/>
      <c r="B67" s="27">
        <v>44330.012769791669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Q67" s="13"/>
    </row>
    <row r="68" spans="1:17" x14ac:dyDescent="0.25">
      <c r="A68" s="5"/>
      <c r="B68" s="31" t="s">
        <v>54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26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","206", " - ", "Communications")</f>
        <v>Department 206 - Communications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10356.060000000001</v>
      </c>
      <c r="E17" s="14">
        <f>SUM(OSRRefD20x_1)</f>
        <v>8415.8599999999988</v>
      </c>
      <c r="F17" s="14">
        <f>SUM(OSRRefD20x_2)</f>
        <v>7691.3700000000008</v>
      </c>
      <c r="G17" s="14">
        <f>SUM(OSRRefD20x_3)</f>
        <v>10192.200000000001</v>
      </c>
      <c r="H17" s="14">
        <f>SUM(OSRRefD20x_4)</f>
        <v>7104.2199999999993</v>
      </c>
      <c r="I17" s="14">
        <f>SUM(OSRRefD20x_5)</f>
        <v>8483.08</v>
      </c>
      <c r="J17" s="14">
        <f>SUM(OSRRefD20x_6)</f>
        <v>10403.06</v>
      </c>
      <c r="K17" s="14">
        <f>SUM(OSRRefD20x_7)</f>
        <v>8181.4500000000007</v>
      </c>
      <c r="L17" s="14">
        <f>SUM(OSRRefD20x_8)</f>
        <v>8835.7099999999991</v>
      </c>
      <c r="M17" s="14">
        <f>SUM(OSRRefD20x_9)</f>
        <v>8201.7900000000009</v>
      </c>
      <c r="N17" s="14">
        <f>SUM(OSRRefE20x_0)</f>
        <v>17212.426153846154</v>
      </c>
      <c r="O17" s="14">
        <f>SUM(OSRRefE20x_1)</f>
        <v>17216.426153846154</v>
      </c>
      <c r="Q17" s="14">
        <f>SUM(OSRRefG20x)</f>
        <v>122293.6523076923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SUM(OSRRefD21_0x_7)</f>
        <v>2006.0500000000002</v>
      </c>
      <c r="L18" s="1">
        <f>SUM(OSRRefD21_0x_8)</f>
        <v>2230.3000000000002</v>
      </c>
      <c r="M18" s="1">
        <f>SUM(OSRRefD21_0x_9)</f>
        <v>2371.4499999999998</v>
      </c>
      <c r="N18" s="1">
        <f>SUM(OSRRefE21_0x_0)</f>
        <v>1703.426153846154</v>
      </c>
      <c r="O18" s="1">
        <f>SUM(OSRRefE21_0x_1)</f>
        <v>1703.426153846154</v>
      </c>
      <c r="Q18" s="2">
        <f>SUM(OSRRefD20_0x)+IFERROR(SUM(OSRRefE20_0x),0)</f>
        <v>21529.722307692307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399.03</v>
      </c>
      <c r="L19" s="2">
        <v>374.94</v>
      </c>
      <c r="M19" s="2">
        <v>518.80999999999995</v>
      </c>
      <c r="N19" s="2">
        <v>459.18</v>
      </c>
      <c r="O19" s="2">
        <v>459.18</v>
      </c>
      <c r="P19" s="9"/>
      <c r="Q19" s="2">
        <f>SUM(OSRRefD21_0_0x)+IFERROR(SUM(OSRRefE21_0_0x),0)</f>
        <v>5015.2299999999996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19.989999999999998</v>
      </c>
      <c r="L20" s="2">
        <v>19.62</v>
      </c>
      <c r="M20" s="2">
        <v>18.100000000000001</v>
      </c>
      <c r="N20" s="2">
        <v>19.8</v>
      </c>
      <c r="O20" s="2">
        <v>19.8</v>
      </c>
      <c r="P20" s="9"/>
      <c r="Q20" s="2">
        <f>SUM(OSRRefD21_0_1x)+IFERROR(SUM(OSRRefE21_0_1x),0)</f>
        <v>246.59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704.62</v>
      </c>
      <c r="L21" s="2">
        <v>704.62</v>
      </c>
      <c r="M21" s="2">
        <v>704.62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8251.3923076923074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15.75</v>
      </c>
      <c r="L22" s="2">
        <v>15.46</v>
      </c>
      <c r="M22" s="2">
        <v>14.26</v>
      </c>
      <c r="N22" s="2">
        <v>15.6</v>
      </c>
      <c r="O22" s="2">
        <v>15.6</v>
      </c>
      <c r="P22" s="9"/>
      <c r="Q22" s="2">
        <f>SUM(OSRRefD21_0_3x)+IFERROR(SUM(OSRRefE21_0_3x),0)</f>
        <v>194.29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/>
      <c r="E23" s="2"/>
      <c r="F23" s="2"/>
      <c r="G23" s="2"/>
      <c r="H23" s="2"/>
      <c r="I23" s="2"/>
      <c r="J23" s="2">
        <v>441.84</v>
      </c>
      <c r="K23" s="2">
        <v>368.66</v>
      </c>
      <c r="L23" s="2">
        <v>368.66</v>
      </c>
      <c r="M23" s="2">
        <v>368.66</v>
      </c>
      <c r="N23" s="2">
        <v>0</v>
      </c>
      <c r="O23" s="2">
        <v>0</v>
      </c>
      <c r="P23" s="9"/>
      <c r="Q23" s="2">
        <f>SUM(OSRRefD21_0_4x)+IFERROR(SUM(OSRRefE21_0_4x),0)</f>
        <v>1547.8200000000002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230.7</v>
      </c>
      <c r="K25" s="2">
        <v>276.60000000000002</v>
      </c>
      <c r="L25" s="2">
        <v>414.9</v>
      </c>
      <c r="M25" s="2">
        <v>414.9</v>
      </c>
      <c r="N25" s="2">
        <v>240</v>
      </c>
      <c r="O25" s="2">
        <v>240</v>
      </c>
      <c r="P25" s="9"/>
      <c r="Q25" s="2">
        <f>SUM(OSRRefD21_0_6x)+IFERROR(SUM(OSRRefE21_0_6x),0)</f>
        <v>3018.3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221.4</v>
      </c>
      <c r="K26" s="2">
        <v>221.4</v>
      </c>
      <c r="L26" s="2">
        <v>332.1</v>
      </c>
      <c r="M26" s="2">
        <v>332.1</v>
      </c>
      <c r="N26" s="2">
        <v>180</v>
      </c>
      <c r="O26" s="2">
        <v>180</v>
      </c>
      <c r="P26" s="9"/>
      <c r="Q26" s="2">
        <f>SUM(OSRRefD21_0_7x)+IFERROR(SUM(OSRRefE21_0_7x),0)</f>
        <v>2906.1000000000004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175</v>
      </c>
      <c r="O27" s="2">
        <v>175</v>
      </c>
      <c r="P27" s="9"/>
      <c r="Q27" s="2">
        <f>SUM(OSRRefD21_0_8x)+IFERROR(SUM(OSRRefE21_0_8x),0)</f>
        <v>350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SUM(OSRRefD21_1x_6)</f>
        <v>7897.76</v>
      </c>
      <c r="K28" s="1">
        <f>SUM(OSRRefD21_1x_7)</f>
        <v>5792.93</v>
      </c>
      <c r="L28" s="1">
        <f>SUM(OSRRefD21_1x_8)</f>
        <v>6396.2</v>
      </c>
      <c r="M28" s="1">
        <f>SUM(OSRRefD21_1x_9)</f>
        <v>5794.34</v>
      </c>
      <c r="N28" s="1">
        <f>SUM(OSRRefE21_1x_0)</f>
        <v>5676</v>
      </c>
      <c r="O28" s="1">
        <f>SUM(OSRRefE21_1x_1)</f>
        <v>5676</v>
      </c>
      <c r="Q28" s="2">
        <f>SUM(OSRRefD20_1x)+IFERROR(SUM(OSRRefE20_1x),0)</f>
        <v>77311.95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4755</v>
      </c>
      <c r="K32" s="2">
        <v>5475</v>
      </c>
      <c r="L32" s="2">
        <v>4680</v>
      </c>
      <c r="M32" s="2">
        <v>5730</v>
      </c>
      <c r="N32" s="2">
        <v>4512</v>
      </c>
      <c r="O32" s="2">
        <v>4512</v>
      </c>
      <c r="P32" s="9"/>
      <c r="Q32" s="2">
        <f>SUM(OSRRefD21_1_3x)+IFERROR(SUM(OSRRefE21_1_3x),0)</f>
        <v>61514.1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1776</v>
      </c>
      <c r="K35" s="2">
        <v>-838</v>
      </c>
      <c r="L35" s="2">
        <v>553</v>
      </c>
      <c r="M35" s="2">
        <v>-1491</v>
      </c>
      <c r="N35" s="2">
        <v>1164</v>
      </c>
      <c r="O35" s="2">
        <v>1164</v>
      </c>
      <c r="P35" s="9"/>
      <c r="Q35" s="2">
        <f>SUM(OSRRefD21_1_6x)+IFERROR(SUM(OSRRefE21_1_6x),0)</f>
        <v>2328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1155.93</v>
      </c>
      <c r="L36" s="2">
        <v>1163.2</v>
      </c>
      <c r="M36" s="2">
        <v>1555.34</v>
      </c>
      <c r="N36" s="2">
        <v>0</v>
      </c>
      <c r="O36" s="2">
        <v>0</v>
      </c>
      <c r="P36" s="9"/>
      <c r="Q36" s="2">
        <f>SUM(OSRRefD21_1_7x)+IFERROR(SUM(OSRRefE21_1_7x),0)</f>
        <v>13469.85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SUM(OSRRefD21_2x_6)</f>
        <v>173.21</v>
      </c>
      <c r="K39" s="1">
        <f>SUM(OSRRefD21_2x_7)</f>
        <v>346.42</v>
      </c>
      <c r="L39" s="1">
        <f>SUM(OSRRefD21_2x_8)</f>
        <v>173.21</v>
      </c>
      <c r="M39" s="1">
        <f>SUM(OSRRefD21_2x_9)</f>
        <v>0</v>
      </c>
      <c r="N39" s="1">
        <f>SUM(OSRRefE21_2x_0)</f>
        <v>8333</v>
      </c>
      <c r="O39" s="1">
        <f>SUM(OSRRefE21_2x_1)</f>
        <v>8337</v>
      </c>
      <c r="Q39" s="2">
        <f>SUM(OSRRefD20_2x)+IFERROR(SUM(OSRRefE20_2x),0)</f>
        <v>18228.89</v>
      </c>
    </row>
    <row r="40" spans="1:17" s="34" customFormat="1" hidden="1" outlineLevel="1" x14ac:dyDescent="0.25">
      <c r="A40" s="35"/>
      <c r="B40" s="10" t="str">
        <f>CONCATENATE("          ","6362", " - ","ADVERTISING EXPENSE")</f>
        <v xml:space="preserve">          6362 - ADVERTISING EXPENSE</v>
      </c>
      <c r="C40" s="11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173.21</v>
      </c>
      <c r="K40" s="2">
        <v>346.42</v>
      </c>
      <c r="L40" s="2">
        <v>173.21</v>
      </c>
      <c r="M40" s="2"/>
      <c r="N40" s="2">
        <v>8333</v>
      </c>
      <c r="O40" s="2">
        <v>8337</v>
      </c>
      <c r="P40" s="9"/>
      <c r="Q40" s="2">
        <f>SUM(OSRRefD21_2_0x)+IFERROR(SUM(OSRRefE21_2_0x),0)</f>
        <v>18228.89</v>
      </c>
    </row>
    <row r="41" spans="1:17" s="34" customFormat="1" collapsed="1" x14ac:dyDescent="0.25">
      <c r="A41" s="35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SUM(OSRRefD21_3x_6)</f>
        <v>271.27</v>
      </c>
      <c r="K41" s="1">
        <f>SUM(OSRRefD21_3x_7)</f>
        <v>0.05</v>
      </c>
      <c r="L41" s="1">
        <f>SUM(OSRRefD21_3x_8)</f>
        <v>0</v>
      </c>
      <c r="M41" s="1">
        <f>SUM(OSRRefD21_3x_9)</f>
        <v>0</v>
      </c>
      <c r="N41" s="1">
        <f>SUM(OSRRefE21_3x_0)</f>
        <v>0</v>
      </c>
      <c r="O41" s="1">
        <f>SUM(OSRRefE21_3x_1)</f>
        <v>0</v>
      </c>
      <c r="Q41" s="2">
        <f>SUM(OSRRefD20_3x)+IFERROR(SUM(OSRRefE20_3x),0)</f>
        <v>1898.9399999999998</v>
      </c>
    </row>
    <row r="42" spans="1:17" s="34" customFormat="1" hidden="1" outlineLevel="1" x14ac:dyDescent="0.25">
      <c r="A42" s="35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271.27</v>
      </c>
      <c r="K42" s="2">
        <v>0.05</v>
      </c>
      <c r="L42" s="2"/>
      <c r="M42" s="2"/>
      <c r="N42" s="2"/>
      <c r="O42" s="2"/>
      <c r="P42" s="9"/>
      <c r="Q42" s="2">
        <f>SUM(OSRRefD21_3_0x)+IFERROR(SUM(OSRRefE21_3_0x),0)</f>
        <v>1898.9399999999998</v>
      </c>
    </row>
    <row r="43" spans="1:17" s="34" customFormat="1" collapsed="1" x14ac:dyDescent="0.25">
      <c r="A43" s="35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0</v>
      </c>
      <c r="N43" s="1">
        <f>SUM(OSRRefE21_4x_0)</f>
        <v>667</v>
      </c>
      <c r="O43" s="1">
        <f>SUM(OSRRefE21_4x_1)</f>
        <v>663</v>
      </c>
      <c r="Q43" s="2">
        <f>SUM(OSRRefD20_4x)+IFERROR(SUM(OSRRefE20_4x),0)</f>
        <v>1330</v>
      </c>
    </row>
    <row r="44" spans="1:17" s="34" customFormat="1" hidden="1" outlineLevel="1" x14ac:dyDescent="0.25">
      <c r="A44" s="35"/>
      <c r="B44" s="10" t="str">
        <f>CONCATENATE("          ","6371", " - ","COMPUTER SOFTWARE MAINTENANCE")</f>
        <v xml:space="preserve">          6371 - COMPUTER SOFTWARE MAINTENANCE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667</v>
      </c>
      <c r="O44" s="2">
        <v>663</v>
      </c>
      <c r="P44" s="9"/>
      <c r="Q44" s="2">
        <f>SUM(OSRRefD21_4_0x)+IFERROR(SUM(OSRRefE21_4_0x),0)</f>
        <v>1330</v>
      </c>
    </row>
    <row r="45" spans="1:17" s="34" customFormat="1" collapsed="1" x14ac:dyDescent="0.25">
      <c r="A45" s="35"/>
      <c r="B45" s="11" t="str">
        <f>CONCATENATE("     ","Supplies                                          ")</f>
        <v xml:space="preserve">     Supplies               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SUM(OSRRefD21_5x_9)</f>
        <v>0</v>
      </c>
      <c r="N45" s="1">
        <f>SUM(OSRRefE21_5x_0)</f>
        <v>833</v>
      </c>
      <c r="O45" s="1">
        <f>SUM(OSRRefE21_5x_1)</f>
        <v>837</v>
      </c>
      <c r="Q45" s="2">
        <f>SUM(OSRRefD20_5x)+IFERROR(SUM(OSRRefE20_5x),0)</f>
        <v>1670</v>
      </c>
    </row>
    <row r="46" spans="1:17" s="34" customFormat="1" hidden="1" outlineLevel="1" x14ac:dyDescent="0.25">
      <c r="A46" s="35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833</v>
      </c>
      <c r="O46" s="2">
        <v>837</v>
      </c>
      <c r="P46" s="9"/>
      <c r="Q46" s="2">
        <f>SUM(OSRRefD21_5_0x)+IFERROR(SUM(OSRRefE21_5_0x),0)</f>
        <v>1670</v>
      </c>
    </row>
    <row r="47" spans="1:17" s="34" customFormat="1" collapsed="1" x14ac:dyDescent="0.25">
      <c r="A47" s="35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SUM(OSRRefD21_6x_6)</f>
        <v>36.15</v>
      </c>
      <c r="K47" s="1">
        <f>SUM(OSRRefD21_6x_7)</f>
        <v>36</v>
      </c>
      <c r="L47" s="1">
        <f>SUM(OSRRefD21_6x_8)</f>
        <v>36</v>
      </c>
      <c r="M47" s="1">
        <f>SUM(OSRRefD21_6x_9)</f>
        <v>36</v>
      </c>
      <c r="N47" s="1">
        <f>SUM(OSRRefE21_6x_0)</f>
        <v>0</v>
      </c>
      <c r="O47" s="1">
        <f>SUM(OSRRefE21_6x_1)</f>
        <v>0</v>
      </c>
      <c r="Q47" s="2">
        <f>SUM(OSRRefD20_6x)+IFERROR(SUM(OSRRefE20_6x),0)</f>
        <v>324.14999999999998</v>
      </c>
    </row>
    <row r="48" spans="1:17" s="34" customFormat="1" hidden="1" outlineLevel="1" x14ac:dyDescent="0.25">
      <c r="A48" s="35"/>
      <c r="B48" s="10" t="str">
        <f>CONCATENATE("          ","6309", " - ","TELEPHONE")</f>
        <v xml:space="preserve">          6309 - TELEPHONE</v>
      </c>
      <c r="C48" s="11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>
        <v>36.15</v>
      </c>
      <c r="K48" s="2">
        <v>36</v>
      </c>
      <c r="L48" s="2">
        <v>36</v>
      </c>
      <c r="M48" s="2">
        <v>36</v>
      </c>
      <c r="N48" s="2"/>
      <c r="O48" s="2"/>
      <c r="P48" s="9"/>
      <c r="Q48" s="2">
        <f>SUM(OSRRefD21_6_0x)+IFERROR(SUM(OSRRefE21_6_0x),0)</f>
        <v>324.14999999999998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3"/>
      <c r="B50" s="16" t="s">
        <v>291</v>
      </c>
      <c r="C50" s="22"/>
      <c r="D50" s="3">
        <f t="shared" ref="D50:M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>
        <f t="shared" si="4"/>
        <v>0</v>
      </c>
      <c r="N50" s="3"/>
      <c r="O50" s="3"/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274</v>
      </c>
      <c r="C52" s="17"/>
      <c r="D52" s="8">
        <f t="shared" ref="D52:O52" si="5">IFERROR(+D14-D17+D50, 0)</f>
        <v>-10356.060000000001</v>
      </c>
      <c r="E52" s="8">
        <f t="shared" si="5"/>
        <v>-8415.8599999999988</v>
      </c>
      <c r="F52" s="8">
        <f t="shared" si="5"/>
        <v>-7691.3700000000008</v>
      </c>
      <c r="G52" s="8">
        <f t="shared" si="5"/>
        <v>-10192.200000000001</v>
      </c>
      <c r="H52" s="8">
        <f t="shared" si="5"/>
        <v>-7104.2199999999993</v>
      </c>
      <c r="I52" s="8">
        <f t="shared" si="5"/>
        <v>-8483.08</v>
      </c>
      <c r="J52" s="8">
        <f t="shared" si="5"/>
        <v>-10403.06</v>
      </c>
      <c r="K52" s="8">
        <f t="shared" si="5"/>
        <v>-8181.4500000000007</v>
      </c>
      <c r="L52" s="8">
        <f t="shared" si="5"/>
        <v>-8835.7099999999991</v>
      </c>
      <c r="M52" s="8">
        <f t="shared" si="5"/>
        <v>-8201.7900000000009</v>
      </c>
      <c r="N52" s="8">
        <f t="shared" si="5"/>
        <v>-17212.426153846154</v>
      </c>
      <c r="O52" s="8">
        <f t="shared" si="5"/>
        <v>-17216.426153846154</v>
      </c>
      <c r="Q52" s="8">
        <f>IFERROR(+Q14-Q17+Q50, 0)</f>
        <v>-122293.6523076923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7">
        <f t="shared" ref="D57:O57" si="7">IFERROR(+D52-D55, 0)</f>
        <v>-10356.060000000001</v>
      </c>
      <c r="E57" s="7">
        <f t="shared" si="7"/>
        <v>-8415.8599999999988</v>
      </c>
      <c r="F57" s="7">
        <f t="shared" si="7"/>
        <v>-7691.3700000000008</v>
      </c>
      <c r="G57" s="7">
        <f t="shared" si="7"/>
        <v>-10192.200000000001</v>
      </c>
      <c r="H57" s="7">
        <f t="shared" si="7"/>
        <v>-7104.2199999999993</v>
      </c>
      <c r="I57" s="7">
        <f t="shared" si="7"/>
        <v>-8483.08</v>
      </c>
      <c r="J57" s="7">
        <f t="shared" si="7"/>
        <v>-10403.06</v>
      </c>
      <c r="K57" s="7">
        <f t="shared" si="7"/>
        <v>-8181.4500000000007</v>
      </c>
      <c r="L57" s="7">
        <f t="shared" si="7"/>
        <v>-8835.7099999999991</v>
      </c>
      <c r="M57" s="7">
        <f t="shared" si="7"/>
        <v>-8201.7900000000009</v>
      </c>
      <c r="N57" s="7">
        <f t="shared" si="7"/>
        <v>-17212.426153846154</v>
      </c>
      <c r="O57" s="7">
        <f t="shared" si="7"/>
        <v>-17216.426153846154</v>
      </c>
      <c r="Q57" s="7">
        <f>IFERROR(+Q52-Q55, 0)</f>
        <v>-122293.6523076923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292</v>
      </c>
      <c r="C61" s="17"/>
      <c r="D61" s="7">
        <f t="shared" ref="D61:O61" si="9">IFERROR(SUM(D57:D60), 0)</f>
        <v>-10356.060000000001</v>
      </c>
      <c r="E61" s="7">
        <f t="shared" si="9"/>
        <v>-8415.8599999999988</v>
      </c>
      <c r="F61" s="7">
        <f t="shared" si="9"/>
        <v>-7691.3700000000008</v>
      </c>
      <c r="G61" s="7">
        <f t="shared" si="9"/>
        <v>-10192.200000000001</v>
      </c>
      <c r="H61" s="7">
        <f t="shared" si="9"/>
        <v>-7104.2199999999993</v>
      </c>
      <c r="I61" s="7">
        <f t="shared" si="9"/>
        <v>-8483.08</v>
      </c>
      <c r="J61" s="7">
        <f t="shared" si="9"/>
        <v>-10403.06</v>
      </c>
      <c r="K61" s="7">
        <f t="shared" si="9"/>
        <v>-8181.4500000000007</v>
      </c>
      <c r="L61" s="7">
        <f t="shared" si="9"/>
        <v>-8835.7099999999991</v>
      </c>
      <c r="M61" s="7">
        <f t="shared" si="9"/>
        <v>-8201.7900000000009</v>
      </c>
      <c r="N61" s="7">
        <f t="shared" si="9"/>
        <v>-17212.426153846154</v>
      </c>
      <c r="O61" s="7">
        <f t="shared" si="9"/>
        <v>-17216.426153846154</v>
      </c>
      <c r="Q61" s="7">
        <f>IFERROR(SUM(Q57:Q60), 0)</f>
        <v>-122293.6523076923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7">
        <v>44330.012769791669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13"/>
    </row>
    <row r="64" spans="1:17" x14ac:dyDescent="0.25">
      <c r="A64" s="5"/>
      <c r="B64" s="31" t="s">
        <v>54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Q64" s="13"/>
    </row>
    <row r="65" spans="1:17" x14ac:dyDescent="0.25">
      <c r="A65" s="5"/>
      <c r="B65" s="26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Q65" s="13"/>
    </row>
    <row r="66" spans="1:17" x14ac:dyDescent="0.25"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Q6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4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102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202974.15000000002</v>
      </c>
      <c r="L10" s="3">
        <f>SUM(OSRRefD11x_8)</f>
        <v>183995.22000000006</v>
      </c>
      <c r="M10" s="3">
        <f>SUM(OSRRefD11x_9)</f>
        <v>438518.1100000001</v>
      </c>
      <c r="N10" s="3">
        <f>SUM(OSRRefE11x_0)</f>
        <v>259757.5</v>
      </c>
      <c r="O10" s="3">
        <f>SUM(OSRRefE11x_1)</f>
        <v>189167.9</v>
      </c>
      <c r="P10" s="24"/>
      <c r="Q10" s="3">
        <f>SUM(OSRRefG11x)</f>
        <v>5154437.7399999984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v>258826.5</v>
      </c>
      <c r="O11" s="2">
        <v>188816.9</v>
      </c>
      <c r="Q11" s="2">
        <f>SUM(OSRRefD11_0x)+IFERROR(SUM(OSRRefE11_0x),0)</f>
        <v>314548.21000000002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/>
      <c r="O12" s="2"/>
      <c r="Q12" s="2">
        <f>SUM(OSRRefD11_1x)+IFERROR(SUM(OSRRefE11_1x),0)</f>
        <v>1263810.3599999999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/>
      <c r="O13" s="2"/>
      <c r="Q13" s="2">
        <f>SUM(OSRRefD11_2x)+IFERROR(SUM(OSRRefE11_2x),0)</f>
        <v>578768.63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/>
      <c r="O19" s="2"/>
      <c r="Q19" s="2">
        <f>SUM(OSRRefD11_8x)+IFERROR(SUM(OSRRefE11_8x),0)</f>
        <v>486.17</v>
      </c>
    </row>
    <row r="20" spans="1:17" s="9" customFormat="1" hidden="1" outlineLevel="1" x14ac:dyDescent="0.25">
      <c r="A20" s="23"/>
      <c r="B20" s="10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/>
      <c r="O20" s="2"/>
      <c r="Q20" s="2">
        <f>SUM(OSRRefD11_9x)+IFERROR(SUM(OSRRefE11_9x),0)</f>
        <v>64070.97</v>
      </c>
    </row>
    <row r="21" spans="1:17" s="9" customFormat="1" hidden="1" outlineLevel="1" x14ac:dyDescent="0.25">
      <c r="A21" s="23"/>
      <c r="B21" s="10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/>
      <c r="O21" s="2"/>
      <c r="Q21" s="2">
        <f>SUM(OSRRefD11_10x)+IFERROR(SUM(OSRRefE11_10x),0)</f>
        <v>46900.170000000006</v>
      </c>
    </row>
    <row r="22" spans="1:17" s="9" customFormat="1" hidden="1" outlineLevel="1" x14ac:dyDescent="0.25">
      <c r="A22" s="23"/>
      <c r="B22" s="10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/>
      <c r="O22" s="2"/>
      <c r="Q22" s="2">
        <f>SUM(OSRRefD11_11x)+IFERROR(SUM(OSRRefE11_11x),0)</f>
        <v>4210.59</v>
      </c>
    </row>
    <row r="23" spans="1:17" s="9" customFormat="1" hidden="1" outlineLevel="1" x14ac:dyDescent="0.25">
      <c r="A23" s="23"/>
      <c r="B23" s="10" t="str">
        <f>CONCATENATE("          ","4032", " - ","TAXABLE SALES-JUICE")</f>
        <v xml:space="preserve">          4032 - TAXABLE SALES-JUICE</v>
      </c>
      <c r="C23" s="22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M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3"/>
      <c r="B24" s="10" t="str">
        <f>CONCATENATE("          ","4034", " - ","TAXABLE SALES-SODA")</f>
        <v xml:space="preserve">          4034 - TAXABLE SALES-SODA</v>
      </c>
      <c r="C24" s="22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3"/>
      <c r="B25" s="10" t="str">
        <f>CONCATENATE("          ","4040", " - ","TAXABLE SALES-LOGO CLOTHING")</f>
        <v xml:space="preserve">          4040 - TAXABLE SALES-LOGO CLOTHING</v>
      </c>
      <c r="C25" s="22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/>
      <c r="O25" s="2"/>
      <c r="Q25" s="2">
        <f>SUM(OSRRefD11_14x)+IFERROR(SUM(OSRRefE11_14x),0)</f>
        <v>913180.72999999986</v>
      </c>
    </row>
    <row r="26" spans="1:17" s="9" customFormat="1" hidden="1" outlineLevel="1" x14ac:dyDescent="0.25">
      <c r="A26" s="23"/>
      <c r="B26" s="10" t="str">
        <f>CONCATENATE("          ","4041", " - ","TAXABLE SALES-LOGO GIFTS")</f>
        <v xml:space="preserve">          4041 - TAXABLE SALES-LOGO GIFTS</v>
      </c>
      <c r="C26" s="22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/>
      <c r="O26" s="2"/>
      <c r="Q26" s="2">
        <f>SUM(OSRRefD11_15x)+IFERROR(SUM(OSRRefE11_15x),0)</f>
        <v>440456.98000000004</v>
      </c>
    </row>
    <row r="27" spans="1:17" s="9" customFormat="1" hidden="1" outlineLevel="1" x14ac:dyDescent="0.25">
      <c r="A27" s="23"/>
      <c r="B27" s="10" t="str">
        <f>CONCATENATE("          ","4042", " - ","TAXABLE SALES-EVERYDAY GIFTS")</f>
        <v xml:space="preserve">          4042 - TAXABLE SALES-EVERYDAY GIFTS</v>
      </c>
      <c r="C27" s="22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/>
      <c r="O27" s="2"/>
      <c r="Q27" s="2">
        <f>SUM(OSRRefD11_16x)+IFERROR(SUM(OSRRefE11_16x),0)</f>
        <v>100678.51999999999</v>
      </c>
    </row>
    <row r="28" spans="1:17" s="9" customFormat="1" hidden="1" outlineLevel="1" x14ac:dyDescent="0.25">
      <c r="A28" s="23"/>
      <c r="B28" s="10" t="str">
        <f>CONCATENATE("          ","4043", " - ","TAXABLE SALES-CARDS")</f>
        <v xml:space="preserve">          4043 - TAXABLE SALES-CARDS</v>
      </c>
      <c r="C28" s="22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/>
      <c r="O28" s="2"/>
      <c r="Q28" s="2">
        <f>SUM(OSRRefD11_17x)+IFERROR(SUM(OSRRefE11_17x),0)</f>
        <v>136859.38</v>
      </c>
    </row>
    <row r="29" spans="1:17" s="9" customFormat="1" hidden="1" outlineLevel="1" x14ac:dyDescent="0.25">
      <c r="A29" s="23"/>
      <c r="B29" s="10" t="str">
        <f>CONCATENATE("          ","4044", " - ","TAXABLE SALES-ACCESSORIES")</f>
        <v xml:space="preserve">          4044 - TAXABLE SALES-ACCESSORIES</v>
      </c>
      <c r="C29" s="22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/>
      <c r="O29" s="2"/>
      <c r="Q29" s="2">
        <f>SUM(OSRRefD11_18x)+IFERROR(SUM(OSRRefE11_18x),0)</f>
        <v>36092.229999999996</v>
      </c>
    </row>
    <row r="30" spans="1:17" s="9" customFormat="1" hidden="1" outlineLevel="1" x14ac:dyDescent="0.25">
      <c r="A30" s="23"/>
      <c r="B30" s="10" t="str">
        <f>CONCATENATE("          ","4045", " - ","TAXABLE SALES-SPECIAL ORDERS")</f>
        <v xml:space="preserve">          4045 - TAXABLE SALES-SPECIAL ORDERS</v>
      </c>
      <c r="C30" s="22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/>
      <c r="O30" s="2"/>
      <c r="Q30" s="2">
        <f>SUM(OSRRefD11_19x)+IFERROR(SUM(OSRRefE11_19x),0)</f>
        <v>207242.34</v>
      </c>
    </row>
    <row r="31" spans="1:17" s="9" customFormat="1" hidden="1" outlineLevel="1" x14ac:dyDescent="0.25">
      <c r="A31" s="23"/>
      <c r="B31" s="10" t="str">
        <f>CONCATENATE("          ","4081", " - ","TAXABLE SALES-ELECTRONICS")</f>
        <v xml:space="preserve">          4081 - TAXABLE SALES-ELECTRONICS</v>
      </c>
      <c r="C31" s="22"/>
      <c r="D31" s="2">
        <f t="shared" ref="D31:E33" si="6">0</f>
        <v>0</v>
      </c>
      <c r="E31" s="2">
        <f t="shared" si="6"/>
        <v>0</v>
      </c>
      <c r="F31" s="2">
        <f>--71.95</f>
        <v>71.95</v>
      </c>
      <c r="G31" s="2">
        <f t="shared" ref="G31:J33" si="7">0</f>
        <v>0</v>
      </c>
      <c r="H31" s="2">
        <f t="shared" si="7"/>
        <v>0</v>
      </c>
      <c r="I31" s="2">
        <f t="shared" si="7"/>
        <v>0</v>
      </c>
      <c r="J31" s="2">
        <f t="shared" si="7"/>
        <v>0</v>
      </c>
      <c r="K31" s="2">
        <f t="shared" ref="K31:M32" si="8">0</f>
        <v>0</v>
      </c>
      <c r="L31" s="2">
        <f t="shared" si="8"/>
        <v>0</v>
      </c>
      <c r="M31" s="2">
        <f t="shared" si="8"/>
        <v>0</v>
      </c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25">
      <c r="A32" s="23"/>
      <c r="B32" s="10" t="str">
        <f>CONCATENATE("          ","4083", " - ","TAXABLE SALES-COMPUTER EQUIPME")</f>
        <v xml:space="preserve">          4083 - TAXABLE SALES-COMPUTER EQUIPME</v>
      </c>
      <c r="C32" s="22"/>
      <c r="D32" s="2">
        <f t="shared" si="6"/>
        <v>0</v>
      </c>
      <c r="E32" s="2">
        <f t="shared" si="6"/>
        <v>0</v>
      </c>
      <c r="F32" s="2">
        <f>--9.99</f>
        <v>9.99</v>
      </c>
      <c r="G32" s="2">
        <f t="shared" si="7"/>
        <v>0</v>
      </c>
      <c r="H32" s="2">
        <f t="shared" si="7"/>
        <v>0</v>
      </c>
      <c r="I32" s="2">
        <f t="shared" si="7"/>
        <v>0</v>
      </c>
      <c r="J32" s="2">
        <f t="shared" si="7"/>
        <v>0</v>
      </c>
      <c r="K32" s="2">
        <f t="shared" si="8"/>
        <v>0</v>
      </c>
      <c r="L32" s="2">
        <f t="shared" si="8"/>
        <v>0</v>
      </c>
      <c r="M32" s="2">
        <f t="shared" si="8"/>
        <v>0</v>
      </c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25">
      <c r="A33" s="23"/>
      <c r="B33" s="10" t="str">
        <f>CONCATENATE("          ","4095", " - ","TAXABLE SALES-CUSTOMER SERVICE")</f>
        <v xml:space="preserve">          4095 - TAXABLE SALES-CUSTOMER SERVICE</v>
      </c>
      <c r="C33" s="22"/>
      <c r="D33" s="2">
        <f t="shared" si="6"/>
        <v>0</v>
      </c>
      <c r="E33" s="2">
        <f t="shared" si="6"/>
        <v>0</v>
      </c>
      <c r="F33" s="2">
        <f>0</f>
        <v>0</v>
      </c>
      <c r="G33" s="2">
        <f t="shared" si="7"/>
        <v>0</v>
      </c>
      <c r="H33" s="2">
        <f t="shared" si="7"/>
        <v>0</v>
      </c>
      <c r="I33" s="2">
        <f t="shared" si="7"/>
        <v>0</v>
      </c>
      <c r="J33" s="2">
        <f t="shared" si="7"/>
        <v>0</v>
      </c>
      <c r="K33" s="2">
        <f>--139.85</f>
        <v>139.85</v>
      </c>
      <c r="L33" s="2">
        <f>--775.28</f>
        <v>775.28</v>
      </c>
      <c r="M33" s="2">
        <f>--2119.46</f>
        <v>2119.46</v>
      </c>
      <c r="N33" s="2"/>
      <c r="O33" s="2"/>
      <c r="Q33" s="2">
        <f>SUM(OSRRefD11_22x)+IFERROR(SUM(OSRRefE11_22x),0)</f>
        <v>3034.59</v>
      </c>
    </row>
    <row r="34" spans="1:17" s="9" customFormat="1" hidden="1" outlineLevel="1" x14ac:dyDescent="0.25">
      <c r="A34" s="23"/>
      <c r="B34" s="10" t="str">
        <f>CONCATENATE("          ","4100", " - ","NON-TAXABLE SALES")</f>
        <v xml:space="preserve">          4100 - NON-TAXABLE SALES</v>
      </c>
      <c r="C34" s="22"/>
      <c r="D34" s="2">
        <f>--3038.3</f>
        <v>3038.3</v>
      </c>
      <c r="E34" s="2">
        <f>--150360.03</f>
        <v>150360.03</v>
      </c>
      <c r="F34" s="2">
        <f>--10945.69</f>
        <v>10945.69</v>
      </c>
      <c r="G34" s="2">
        <f>--135.79</f>
        <v>135.79</v>
      </c>
      <c r="H34" s="2">
        <f>--1333.61</f>
        <v>1333.61</v>
      </c>
      <c r="I34" s="2">
        <f>-225.75</f>
        <v>-225.75</v>
      </c>
      <c r="J34" s="2">
        <f>--112968.19</f>
        <v>112968.19</v>
      </c>
      <c r="K34" s="2">
        <f>--5617.7</f>
        <v>5617.7</v>
      </c>
      <c r="L34" s="2">
        <f>--2050.54</f>
        <v>2050.54</v>
      </c>
      <c r="M34" s="2">
        <f>-12385.33</f>
        <v>-12385.33</v>
      </c>
      <c r="N34" s="2">
        <v>931</v>
      </c>
      <c r="O34" s="2">
        <v>351</v>
      </c>
      <c r="Q34" s="2">
        <f>SUM(OSRRefD11_23x)+IFERROR(SUM(OSRRefE11_23x),0)</f>
        <v>275120.76999999996</v>
      </c>
    </row>
    <row r="35" spans="1:17" s="9" customFormat="1" hidden="1" outlineLevel="1" x14ac:dyDescent="0.25">
      <c r="A35" s="23"/>
      <c r="B35" s="10" t="str">
        <f>CONCATENATE("          ","4101", " - ","NON-TAXABLE SALES-NEW TEXT")</f>
        <v xml:space="preserve">          4101 - NON-TAXABLE SALES-NEW TEXT</v>
      </c>
      <c r="C35" s="22"/>
      <c r="D35" s="2">
        <f>--10341.86</f>
        <v>10341.86</v>
      </c>
      <c r="E35" s="2">
        <f>--41238.82</f>
        <v>41238.82</v>
      </c>
      <c r="F35" s="2">
        <f>--18824.16</f>
        <v>18824.16</v>
      </c>
      <c r="G35" s="2">
        <f>--7260.05</f>
        <v>7260.05</v>
      </c>
      <c r="H35" s="2">
        <f>--1270.83</f>
        <v>1270.83</v>
      </c>
      <c r="I35" s="2">
        <f>--3205.21</f>
        <v>3205.21</v>
      </c>
      <c r="J35" s="2">
        <f>--22084.7</f>
        <v>22084.7</v>
      </c>
      <c r="K35" s="2">
        <f>--6785.91</f>
        <v>6785.91</v>
      </c>
      <c r="L35" s="2">
        <f>--1044.17</f>
        <v>1044.17</v>
      </c>
      <c r="M35" s="2">
        <f>--741.03</f>
        <v>741.03</v>
      </c>
      <c r="N35" s="2"/>
      <c r="O35" s="2"/>
      <c r="Q35" s="2">
        <f>SUM(OSRRefD11_24x)+IFERROR(SUM(OSRRefE11_24x),0)</f>
        <v>112796.74</v>
      </c>
    </row>
    <row r="36" spans="1:17" s="9" customFormat="1" hidden="1" outlineLevel="1" x14ac:dyDescent="0.25">
      <c r="A36" s="23"/>
      <c r="B36" s="10" t="str">
        <f>CONCATENATE("          ","4102", " - ","NON-TAXABLE SALES-USED TEXT")</f>
        <v xml:space="preserve">          4102 - NON-TAXABLE SALES-USED TEXT</v>
      </c>
      <c r="C36" s="22"/>
      <c r="D36" s="2">
        <f>--4190.44</f>
        <v>4190.4399999999996</v>
      </c>
      <c r="E36" s="2">
        <f>--17373.3</f>
        <v>17373.3</v>
      </c>
      <c r="F36" s="2">
        <f>--8807.08</f>
        <v>8807.08</v>
      </c>
      <c r="G36" s="2">
        <f>--2341.65</f>
        <v>2341.65</v>
      </c>
      <c r="H36" s="2">
        <f>--320.72</f>
        <v>320.72000000000003</v>
      </c>
      <c r="I36" s="2">
        <f>--598.12</f>
        <v>598.12</v>
      </c>
      <c r="J36" s="2">
        <f>--9330.01</f>
        <v>9330.01</v>
      </c>
      <c r="K36" s="2">
        <f>--3426.05</f>
        <v>3426.05</v>
      </c>
      <c r="L36" s="2">
        <f>--1572.06</f>
        <v>1572.06</v>
      </c>
      <c r="M36" s="2">
        <f>--743.99</f>
        <v>743.99</v>
      </c>
      <c r="N36" s="2"/>
      <c r="O36" s="2"/>
      <c r="Q36" s="2">
        <f>SUM(OSRRefD11_25x)+IFERROR(SUM(OSRRefE11_25x),0)</f>
        <v>48703.420000000006</v>
      </c>
    </row>
    <row r="37" spans="1:17" s="9" customFormat="1" hidden="1" outlineLevel="1" x14ac:dyDescent="0.25">
      <c r="A37" s="23"/>
      <c r="B37" s="10" t="str">
        <f>CONCATENATE("          ","4103", " - ","NON-TAXABLE SALES-RENTAL TEXT")</f>
        <v xml:space="preserve">          4103 - NON-TAXABLE SALES-RENTAL TEXT</v>
      </c>
      <c r="C37" s="22"/>
      <c r="D37" s="2">
        <f t="shared" ref="D37:E37" si="9">0</f>
        <v>0</v>
      </c>
      <c r="E37" s="2">
        <f t="shared" si="9"/>
        <v>0</v>
      </c>
      <c r="F37" s="2">
        <f>--284.97</f>
        <v>284.97000000000003</v>
      </c>
      <c r="G37" s="2">
        <f t="shared" ref="G37:I37" si="10">0</f>
        <v>0</v>
      </c>
      <c r="H37" s="2">
        <f t="shared" si="10"/>
        <v>0</v>
      </c>
      <c r="I37" s="2">
        <f t="shared" si="10"/>
        <v>0</v>
      </c>
      <c r="J37" s="2">
        <f>--853.98</f>
        <v>853.98</v>
      </c>
      <c r="K37" s="2">
        <f t="shared" ref="K37:M37" si="11">0</f>
        <v>0</v>
      </c>
      <c r="L37" s="2">
        <f t="shared" si="11"/>
        <v>0</v>
      </c>
      <c r="M37" s="2">
        <f t="shared" si="11"/>
        <v>0</v>
      </c>
      <c r="N37" s="2"/>
      <c r="O37" s="2"/>
      <c r="Q37" s="2">
        <f>SUM(OSRRefD11_26x)+IFERROR(SUM(OSRRefE11_26x),0)</f>
        <v>1138.95</v>
      </c>
    </row>
    <row r="38" spans="1:17" s="9" customFormat="1" hidden="1" outlineLevel="1" x14ac:dyDescent="0.25">
      <c r="A38" s="23"/>
      <c r="B38" s="10" t="str">
        <f>CONCATENATE("          ","4104", " - ","NON-TAXABLE SALES-DIGITAL TEXT")</f>
        <v xml:space="preserve">          4104 - NON-TAXABLE SALES-DIGITAL TEXT</v>
      </c>
      <c r="C38" s="22"/>
      <c r="D38" s="2">
        <f>--7485.52</f>
        <v>7485.52</v>
      </c>
      <c r="E38" s="2">
        <f>--205404.66</f>
        <v>205404.66</v>
      </c>
      <c r="F38" s="2">
        <f>--73817.67</f>
        <v>73817.67</v>
      </c>
      <c r="G38" s="2">
        <f>--6767.67</f>
        <v>6767.67</v>
      </c>
      <c r="H38" s="2">
        <f>--1414.19</f>
        <v>1414.19</v>
      </c>
      <c r="I38" s="2">
        <f>--1301.3</f>
        <v>1301.3</v>
      </c>
      <c r="J38" s="2">
        <f>--161977.12</f>
        <v>161977.12</v>
      </c>
      <c r="K38" s="2">
        <f>--17705.92</f>
        <v>17705.919999999998</v>
      </c>
      <c r="L38" s="2">
        <f>--1097.13</f>
        <v>1097.1300000000001</v>
      </c>
      <c r="M38" s="2">
        <f>--3431.99</f>
        <v>3431.99</v>
      </c>
      <c r="N38" s="2"/>
      <c r="O38" s="2"/>
      <c r="Q38" s="2">
        <f>SUM(OSRRefD11_27x)+IFERROR(SUM(OSRRefE11_27x),0)</f>
        <v>480403.16999999993</v>
      </c>
    </row>
    <row r="39" spans="1:17" s="9" customFormat="1" hidden="1" outlineLevel="1" x14ac:dyDescent="0.25">
      <c r="A39" s="23"/>
      <c r="B39" s="10" t="str">
        <f>CONCATENATE("          ","4113", " - ","NON-TAXABLE SALES-TRADE BOOKS")</f>
        <v xml:space="preserve">          4113 - NON-TAXABLE SALES-TRADE BOOKS</v>
      </c>
      <c r="C39" s="22"/>
      <c r="D39" s="2">
        <f t="shared" ref="D39:F39" si="12">0</f>
        <v>0</v>
      </c>
      <c r="E39" s="2">
        <f t="shared" si="12"/>
        <v>0</v>
      </c>
      <c r="F39" s="2">
        <f t="shared" si="12"/>
        <v>0</v>
      </c>
      <c r="G39" s="2">
        <f>--1655.95</f>
        <v>1655.95</v>
      </c>
      <c r="H39" s="2">
        <f>--630</f>
        <v>630</v>
      </c>
      <c r="I39" s="2">
        <f>--41.55</f>
        <v>41.55</v>
      </c>
      <c r="J39" s="2">
        <f>--4661.75</f>
        <v>4661.75</v>
      </c>
      <c r="K39" s="2">
        <f>--3150</f>
        <v>3150</v>
      </c>
      <c r="L39" s="2">
        <f>--1250</f>
        <v>1250</v>
      </c>
      <c r="M39" s="2">
        <f>--738</f>
        <v>738</v>
      </c>
      <c r="N39" s="2"/>
      <c r="O39" s="2"/>
      <c r="Q39" s="2">
        <f>SUM(OSRRefD11_28x)+IFERROR(SUM(OSRRefE11_28x),0)</f>
        <v>12127.25</v>
      </c>
    </row>
    <row r="40" spans="1:17" s="9" customFormat="1" hidden="1" outlineLevel="1" x14ac:dyDescent="0.25">
      <c r="A40" s="23"/>
      <c r="B40" s="10" t="str">
        <f>CONCATENATE("          ","4118", " - ","NON-TAXABLE SALES-STUDY GUIDES")</f>
        <v xml:space="preserve">          4118 - NON-TAXABLE SALES-STUDY GUIDES</v>
      </c>
      <c r="C40" s="22"/>
      <c r="D40" s="2">
        <f>--53.96</f>
        <v>53.96</v>
      </c>
      <c r="E40" s="2">
        <f>--47.87</f>
        <v>47.87</v>
      </c>
      <c r="F40" s="2">
        <f>--6.5</f>
        <v>6.5</v>
      </c>
      <c r="G40" s="2">
        <f>--97.3</f>
        <v>97.3</v>
      </c>
      <c r="H40" s="2">
        <f>--27.8</f>
        <v>27.8</v>
      </c>
      <c r="I40" s="2">
        <f t="shared" ref="I40:I41" si="13">0</f>
        <v>0</v>
      </c>
      <c r="J40" s="2">
        <f>--538.3</f>
        <v>538.29999999999995</v>
      </c>
      <c r="K40" s="2">
        <f t="shared" ref="K40:M41" si="14">0</f>
        <v>0</v>
      </c>
      <c r="L40" s="2">
        <f t="shared" si="14"/>
        <v>0</v>
      </c>
      <c r="M40" s="2">
        <f t="shared" si="14"/>
        <v>0</v>
      </c>
      <c r="N40" s="2"/>
      <c r="O40" s="2"/>
      <c r="Q40" s="2">
        <f>SUM(OSRRefD11_29x)+IFERROR(SUM(OSRRefE11_29x),0)</f>
        <v>771.73</v>
      </c>
    </row>
    <row r="41" spans="1:17" s="9" customFormat="1" hidden="1" outlineLevel="1" x14ac:dyDescent="0.25">
      <c r="A41" s="23"/>
      <c r="B41" s="10" t="str">
        <f>CONCATENATE("          ","4126", " - ","NON-TAXABLE SALES-WRITING INST")</f>
        <v xml:space="preserve">          4126 - NON-TAXABLE SALES-WRITING INST</v>
      </c>
      <c r="C41" s="22"/>
      <c r="D41" s="2">
        <f>--52.68</f>
        <v>52.68</v>
      </c>
      <c r="E41" s="2">
        <f t="shared" ref="E41:H41" si="15">0</f>
        <v>0</v>
      </c>
      <c r="F41" s="2">
        <f t="shared" si="15"/>
        <v>0</v>
      </c>
      <c r="G41" s="2">
        <f t="shared" si="15"/>
        <v>0</v>
      </c>
      <c r="H41" s="2">
        <f t="shared" si="15"/>
        <v>0</v>
      </c>
      <c r="I41" s="2">
        <f t="shared" si="13"/>
        <v>0</v>
      </c>
      <c r="J41" s="2">
        <f>0</f>
        <v>0</v>
      </c>
      <c r="K41" s="2">
        <f t="shared" si="14"/>
        <v>0</v>
      </c>
      <c r="L41" s="2">
        <f t="shared" si="14"/>
        <v>0</v>
      </c>
      <c r="M41" s="2">
        <f t="shared" si="14"/>
        <v>0</v>
      </c>
      <c r="N41" s="2"/>
      <c r="O41" s="2"/>
      <c r="Q41" s="2">
        <f>SUM(OSRRefD11_30x)+IFERROR(SUM(OSRRefE11_30x),0)</f>
        <v>52.68</v>
      </c>
    </row>
    <row r="42" spans="1:17" s="9" customFormat="1" hidden="1" outlineLevel="1" x14ac:dyDescent="0.25">
      <c r="A42" s="23"/>
      <c r="B42" s="10" t="str">
        <f>CONCATENATE("          ","4127", " - ","NON-TAXABLE SALES-SCHOOL SUPPL")</f>
        <v xml:space="preserve">          4127 - NON-TAXABLE SALES-SCHOOL SUPPL</v>
      </c>
      <c r="C42" s="22"/>
      <c r="D42" s="2">
        <f>--72.25</f>
        <v>72.25</v>
      </c>
      <c r="E42" s="2">
        <f>--1788.16</f>
        <v>1788.16</v>
      </c>
      <c r="F42" s="2">
        <f>--810.33</f>
        <v>810.33</v>
      </c>
      <c r="G42" s="2">
        <f>--160.95</f>
        <v>160.94999999999999</v>
      </c>
      <c r="H42" s="2">
        <f>--114.89</f>
        <v>114.89</v>
      </c>
      <c r="I42" s="2">
        <f>--259.53</f>
        <v>259.52999999999997</v>
      </c>
      <c r="J42" s="2">
        <f>--2539.06</f>
        <v>2539.06</v>
      </c>
      <c r="K42" s="2">
        <f>--472.19</f>
        <v>472.19</v>
      </c>
      <c r="L42" s="2">
        <f>--389.95</f>
        <v>389.95</v>
      </c>
      <c r="M42" s="2">
        <f>--493.37</f>
        <v>493.37</v>
      </c>
      <c r="N42" s="2"/>
      <c r="O42" s="2"/>
      <c r="Q42" s="2">
        <f>SUM(OSRRefD11_31x)+IFERROR(SUM(OSRRefE11_31x),0)</f>
        <v>7100.6799999999994</v>
      </c>
    </row>
    <row r="43" spans="1:17" s="9" customFormat="1" hidden="1" outlineLevel="1" x14ac:dyDescent="0.25">
      <c r="A43" s="23"/>
      <c r="B43" s="10" t="str">
        <f>CONCATENATE("          ","4128", " - ","NON-TAXABLE SALES-ART/TECH")</f>
        <v xml:space="preserve">          4128 - NON-TAXABLE SALES-ART/TECH</v>
      </c>
      <c r="C43" s="22"/>
      <c r="D43" s="2">
        <f t="shared" ref="D43:G43" si="16">0</f>
        <v>0</v>
      </c>
      <c r="E43" s="2">
        <f t="shared" si="16"/>
        <v>0</v>
      </c>
      <c r="F43" s="2">
        <f t="shared" si="16"/>
        <v>0</v>
      </c>
      <c r="G43" s="2">
        <f t="shared" si="16"/>
        <v>0</v>
      </c>
      <c r="H43" s="2">
        <f>--24.78</f>
        <v>24.78</v>
      </c>
      <c r="I43" s="2">
        <f>0</f>
        <v>0</v>
      </c>
      <c r="J43" s="2">
        <f>--4.72</f>
        <v>4.72</v>
      </c>
      <c r="K43" s="2">
        <f>--9.08</f>
        <v>9.08</v>
      </c>
      <c r="L43" s="2">
        <f>0</f>
        <v>0</v>
      </c>
      <c r="M43" s="2">
        <f>--31.37</f>
        <v>31.37</v>
      </c>
      <c r="N43" s="2"/>
      <c r="O43" s="2"/>
      <c r="Q43" s="2">
        <f>SUM(OSRRefD11_32x)+IFERROR(SUM(OSRRefE11_32x),0)</f>
        <v>69.95</v>
      </c>
    </row>
    <row r="44" spans="1:17" s="9" customFormat="1" hidden="1" outlineLevel="1" x14ac:dyDescent="0.25">
      <c r="A44" s="23"/>
      <c r="B44" s="10" t="str">
        <f>CONCATENATE("          ","4131", " - ","NON-TAXABLE SALES-FOOD")</f>
        <v xml:space="preserve">          4131 - NON-TAXABLE SALES-FOOD</v>
      </c>
      <c r="C44" s="22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>
        <f>--983.89</f>
        <v>983.89</v>
      </c>
      <c r="I44" s="2">
        <f>--1032.82</f>
        <v>1032.82</v>
      </c>
      <c r="J44" s="2">
        <f>--1098.12</f>
        <v>1098.1199999999999</v>
      </c>
      <c r="K44" s="2">
        <f>--934.88</f>
        <v>934.88</v>
      </c>
      <c r="L44" s="2">
        <f>--829.28</f>
        <v>829.28</v>
      </c>
      <c r="M44" s="2">
        <f>--975.93</f>
        <v>975.93</v>
      </c>
      <c r="N44" s="2"/>
      <c r="O44" s="2"/>
      <c r="Q44" s="2">
        <f>SUM(OSRRefD11_33x)+IFERROR(SUM(OSRRefE11_33x),0)</f>
        <v>11380.36</v>
      </c>
    </row>
    <row r="45" spans="1:17" s="9" customFormat="1" hidden="1" outlineLevel="1" x14ac:dyDescent="0.25">
      <c r="A45" s="23"/>
      <c r="B45" s="10" t="str">
        <f>CONCATENATE("          ","4132", " - ","NON-TAXABLE SALES-JUICE")</f>
        <v xml:space="preserve">          4132 - NON-TAXABLE SALES-JUICE</v>
      </c>
      <c r="C45" s="22"/>
      <c r="D45" s="2">
        <f>--22.49</f>
        <v>22.49</v>
      </c>
      <c r="E45" s="2">
        <f>--625.8</f>
        <v>625.79999999999995</v>
      </c>
      <c r="F45" s="2">
        <f>--1406.08</f>
        <v>1406.08</v>
      </c>
      <c r="G45" s="2">
        <f t="shared" ref="G45:M48" si="17">0</f>
        <v>0</v>
      </c>
      <c r="H45" s="2">
        <f t="shared" si="17"/>
        <v>0</v>
      </c>
      <c r="I45" s="2">
        <f t="shared" si="17"/>
        <v>0</v>
      </c>
      <c r="J45" s="2">
        <f t="shared" si="17"/>
        <v>0</v>
      </c>
      <c r="K45" s="2">
        <f t="shared" si="17"/>
        <v>0</v>
      </c>
      <c r="L45" s="2">
        <f t="shared" si="17"/>
        <v>0</v>
      </c>
      <c r="M45" s="2">
        <f t="shared" si="17"/>
        <v>0</v>
      </c>
      <c r="N45" s="2"/>
      <c r="O45" s="2"/>
      <c r="Q45" s="2">
        <f>SUM(OSRRefD11_34x)+IFERROR(SUM(OSRRefE11_34x),0)</f>
        <v>2054.37</v>
      </c>
    </row>
    <row r="46" spans="1:17" s="9" customFormat="1" hidden="1" outlineLevel="1" x14ac:dyDescent="0.25">
      <c r="A46" s="23"/>
      <c r="B46" s="10" t="str">
        <f>CONCATENATE("          ","4133", " - ","NON-TAXABLE SALES-CANDY")</f>
        <v xml:space="preserve">          4133 - NON-TAXABLE SALES-CANDY</v>
      </c>
      <c r="C46" s="22"/>
      <c r="D46" s="2">
        <f>--68.28</f>
        <v>68.28</v>
      </c>
      <c r="E46" s="2">
        <f>--12.43</f>
        <v>12.43</v>
      </c>
      <c r="F46" s="2">
        <f t="shared" ref="F46:F48" si="18">0</f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7"/>
        <v>0</v>
      </c>
      <c r="K46" s="2">
        <f t="shared" si="17"/>
        <v>0</v>
      </c>
      <c r="L46" s="2">
        <f t="shared" si="17"/>
        <v>0</v>
      </c>
      <c r="M46" s="2">
        <f t="shared" si="17"/>
        <v>0</v>
      </c>
      <c r="N46" s="2"/>
      <c r="O46" s="2"/>
      <c r="Q46" s="2">
        <f>SUM(OSRRefD11_35x)+IFERROR(SUM(OSRRefE11_35x),0)</f>
        <v>80.710000000000008</v>
      </c>
    </row>
    <row r="47" spans="1:17" s="9" customFormat="1" hidden="1" outlineLevel="1" x14ac:dyDescent="0.25">
      <c r="A47" s="23"/>
      <c r="B47" s="10" t="str">
        <f>CONCATENATE("          ","4134", " - ","NON-TAXABLE SALES-SODA")</f>
        <v xml:space="preserve">          4134 - NON-TAXABLE SALES-SODA</v>
      </c>
      <c r="C47" s="22"/>
      <c r="D47" s="2">
        <f>--45.53</f>
        <v>45.53</v>
      </c>
      <c r="E47" s="2">
        <f t="shared" ref="E47:E48" si="19">0</f>
        <v>0</v>
      </c>
      <c r="F47" s="2">
        <f t="shared" si="18"/>
        <v>0</v>
      </c>
      <c r="G47" s="2">
        <f t="shared" si="17"/>
        <v>0</v>
      </c>
      <c r="H47" s="2">
        <f t="shared" si="17"/>
        <v>0</v>
      </c>
      <c r="I47" s="2">
        <f t="shared" si="17"/>
        <v>0</v>
      </c>
      <c r="J47" s="2">
        <f t="shared" si="17"/>
        <v>0</v>
      </c>
      <c r="K47" s="2">
        <f t="shared" si="17"/>
        <v>0</v>
      </c>
      <c r="L47" s="2">
        <f t="shared" si="17"/>
        <v>0</v>
      </c>
      <c r="M47" s="2">
        <f t="shared" si="17"/>
        <v>0</v>
      </c>
      <c r="N47" s="2"/>
      <c r="O47" s="2"/>
      <c r="Q47" s="2">
        <f>SUM(OSRRefD11_36x)+IFERROR(SUM(OSRRefE11_36x),0)</f>
        <v>45.53</v>
      </c>
    </row>
    <row r="48" spans="1:17" s="9" customFormat="1" hidden="1" outlineLevel="1" x14ac:dyDescent="0.25">
      <c r="A48" s="23"/>
      <c r="B48" s="10" t="str">
        <f>CONCATENATE("          ","4137", " - ","NON-TAXABLE SALES-WATER")</f>
        <v xml:space="preserve">          4137 - NON-TAXABLE SALES-WATER</v>
      </c>
      <c r="C48" s="22"/>
      <c r="D48" s="2">
        <f>--68.25</f>
        <v>68.25</v>
      </c>
      <c r="E48" s="2">
        <f t="shared" si="19"/>
        <v>0</v>
      </c>
      <c r="F48" s="2">
        <f t="shared" si="18"/>
        <v>0</v>
      </c>
      <c r="G48" s="2">
        <f t="shared" si="17"/>
        <v>0</v>
      </c>
      <c r="H48" s="2">
        <f t="shared" si="17"/>
        <v>0</v>
      </c>
      <c r="I48" s="2">
        <f t="shared" si="17"/>
        <v>0</v>
      </c>
      <c r="J48" s="2">
        <f t="shared" si="17"/>
        <v>0</v>
      </c>
      <c r="K48" s="2">
        <f t="shared" si="17"/>
        <v>0</v>
      </c>
      <c r="L48" s="2">
        <f t="shared" si="17"/>
        <v>0</v>
      </c>
      <c r="M48" s="2">
        <f t="shared" si="17"/>
        <v>0</v>
      </c>
      <c r="N48" s="2"/>
      <c r="O48" s="2"/>
      <c r="Q48" s="2">
        <f>SUM(OSRRefD11_37x)+IFERROR(SUM(OSRRefE11_37x),0)</f>
        <v>68.25</v>
      </c>
    </row>
    <row r="49" spans="1:17" s="9" customFormat="1" hidden="1" outlineLevel="1" x14ac:dyDescent="0.25">
      <c r="A49" s="23"/>
      <c r="B49" s="10" t="str">
        <f>CONCATENATE("          ","4140", " - ","NON-TAXABLE SALES-LOGO CLOTHIN")</f>
        <v xml:space="preserve">          4140 - NON-TAXABLE SALES-LOGO CLOTHIN</v>
      </c>
      <c r="C49" s="22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>
        <f>--19704.79</f>
        <v>19704.79</v>
      </c>
      <c r="I49" s="2">
        <f>--53650.7</f>
        <v>53650.7</v>
      </c>
      <c r="J49" s="2">
        <f>--9206.45</f>
        <v>9206.4500000000007</v>
      </c>
      <c r="K49" s="2">
        <f>--1947.86</f>
        <v>1947.86</v>
      </c>
      <c r="L49" s="2">
        <f>--16626.41</f>
        <v>16626.41</v>
      </c>
      <c r="M49" s="2">
        <f>--23040.7</f>
        <v>23040.7</v>
      </c>
      <c r="N49" s="2"/>
      <c r="O49" s="2"/>
      <c r="Q49" s="2">
        <f>SUM(OSRRefD11_38x)+IFERROR(SUM(OSRRefE11_38x),0)</f>
        <v>154792.39000000001</v>
      </c>
    </row>
    <row r="50" spans="1:17" s="9" customFormat="1" hidden="1" outlineLevel="1" x14ac:dyDescent="0.25">
      <c r="A50" s="23"/>
      <c r="B50" s="10" t="str">
        <f>CONCATENATE("          ","4141", " - ","NON-TAXABLE SALES-LOGO GIFTS")</f>
        <v xml:space="preserve">          4141 - NON-TAXABLE SALES-LOGO GIFTS</v>
      </c>
      <c r="C50" s="22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>
        <f>--806.32</f>
        <v>806.32</v>
      </c>
      <c r="I50" s="2">
        <f>--1780.23</f>
        <v>1780.23</v>
      </c>
      <c r="J50" s="2">
        <f>--1872.52</f>
        <v>1872.52</v>
      </c>
      <c r="K50" s="2">
        <f>--671.25</f>
        <v>671.25</v>
      </c>
      <c r="L50" s="2">
        <f>--1055.22</f>
        <v>1055.22</v>
      </c>
      <c r="M50" s="2">
        <f>--27228.57</f>
        <v>27228.57</v>
      </c>
      <c r="N50" s="2"/>
      <c r="O50" s="2"/>
      <c r="Q50" s="2">
        <f>SUM(OSRRefD11_39x)+IFERROR(SUM(OSRRefE11_39x),0)</f>
        <v>36796.81</v>
      </c>
    </row>
    <row r="51" spans="1:17" s="9" customFormat="1" hidden="1" outlineLevel="1" x14ac:dyDescent="0.25">
      <c r="A51" s="23"/>
      <c r="B51" s="10" t="str">
        <f>CONCATENATE("          ","4142", " - ","NON-TAXABLE SALES-EVERYDAY GIF")</f>
        <v xml:space="preserve">          4142 - NON-TAXABLE SALES-EVERYDAY GIF</v>
      </c>
      <c r="C51" s="22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>
        <f>--887.78</f>
        <v>887.78</v>
      </c>
      <c r="I51" s="2">
        <f>0</f>
        <v>0</v>
      </c>
      <c r="J51" s="2">
        <f>--51.7</f>
        <v>51.7</v>
      </c>
      <c r="K51" s="2">
        <f>--4.58</f>
        <v>4.58</v>
      </c>
      <c r="L51" s="2">
        <f>--16.9</f>
        <v>16.899999999999999</v>
      </c>
      <c r="M51" s="2">
        <f>--306.73</f>
        <v>306.73</v>
      </c>
      <c r="N51" s="2"/>
      <c r="O51" s="2"/>
      <c r="Q51" s="2">
        <f>SUM(OSRRefD11_40x)+IFERROR(SUM(OSRRefE11_40x),0)</f>
        <v>2588.0999999999995</v>
      </c>
    </row>
    <row r="52" spans="1:17" s="9" customFormat="1" hidden="1" outlineLevel="1" x14ac:dyDescent="0.25">
      <c r="A52" s="23"/>
      <c r="B52" s="10" t="str">
        <f>CONCATENATE("          ","4143", " - ","NON-TAXABLE SALES-CARDS")</f>
        <v xml:space="preserve">          4143 - NON-TAXABLE SALES-CARDS</v>
      </c>
      <c r="C52" s="22"/>
      <c r="D52" s="2">
        <f>0</f>
        <v>0</v>
      </c>
      <c r="E52" s="2">
        <f>--19.98</f>
        <v>19.98</v>
      </c>
      <c r="F52" s="2">
        <f>0</f>
        <v>0</v>
      </c>
      <c r="G52" s="2">
        <f t="shared" ref="G52:H52" si="20">--9.99</f>
        <v>9.99</v>
      </c>
      <c r="H52" s="2">
        <f t="shared" si="20"/>
        <v>9.99</v>
      </c>
      <c r="I52" s="2">
        <f>--1697.07</f>
        <v>1697.07</v>
      </c>
      <c r="J52" s="2">
        <f>--232.71</f>
        <v>232.71</v>
      </c>
      <c r="K52" s="2">
        <f>--149.92</f>
        <v>149.91999999999999</v>
      </c>
      <c r="L52" s="2">
        <f>--261.82</f>
        <v>261.82</v>
      </c>
      <c r="M52" s="2">
        <f>--49.97</f>
        <v>49.97</v>
      </c>
      <c r="N52" s="2"/>
      <c r="O52" s="2"/>
      <c r="Q52" s="2">
        <f>SUM(OSRRefD11_41x)+IFERROR(SUM(OSRRefE11_41x),0)</f>
        <v>2431.4499999999998</v>
      </c>
    </row>
    <row r="53" spans="1:17" s="9" customFormat="1" hidden="1" outlineLevel="1" x14ac:dyDescent="0.25">
      <c r="A53" s="23"/>
      <c r="B53" s="10" t="str">
        <f>CONCATENATE("          ","4144", " - ","NON-TAXABLE SALES-ACCESSORIES")</f>
        <v xml:space="preserve">          4144 - NON-TAXABLE SALES-ACCESSORIES</v>
      </c>
      <c r="C53" s="22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>
        <f>--19.95</f>
        <v>19.95</v>
      </c>
      <c r="I53" s="2">
        <f>--99.8</f>
        <v>99.8</v>
      </c>
      <c r="J53" s="2">
        <f>--119.9</f>
        <v>119.9</v>
      </c>
      <c r="K53" s="2">
        <f>--39.95</f>
        <v>39.950000000000003</v>
      </c>
      <c r="L53" s="2">
        <f>--29.9</f>
        <v>29.9</v>
      </c>
      <c r="M53" s="2">
        <f>--29.85</f>
        <v>29.85</v>
      </c>
      <c r="N53" s="2"/>
      <c r="O53" s="2"/>
      <c r="Q53" s="2">
        <f>SUM(OSRRefD11_42x)+IFERROR(SUM(OSRRefE11_42x),0)</f>
        <v>709.1</v>
      </c>
    </row>
    <row r="54" spans="1:17" s="9" customFormat="1" hidden="1" outlineLevel="1" x14ac:dyDescent="0.25">
      <c r="A54" s="23"/>
      <c r="B54" s="10" t="str">
        <f>CONCATENATE("          ","4145", " - ","NON-TAXABLE SALES-SPECIAL ORDE")</f>
        <v xml:space="preserve">          4145 - NON-TAXABLE SALES-SPECIAL ORDE</v>
      </c>
      <c r="C54" s="22"/>
      <c r="D54" s="2">
        <f>--35496</f>
        <v>35496</v>
      </c>
      <c r="E54" s="2">
        <f>--350</f>
        <v>350</v>
      </c>
      <c r="F54" s="2">
        <f t="shared" ref="F54:G54" si="21">0</f>
        <v>0</v>
      </c>
      <c r="G54" s="2">
        <f t="shared" si="21"/>
        <v>0</v>
      </c>
      <c r="H54" s="2">
        <f>--2800</f>
        <v>2800</v>
      </c>
      <c r="I54" s="2">
        <f>--16747.77</f>
        <v>16747.77</v>
      </c>
      <c r="J54" s="2">
        <f>-1677.68</f>
        <v>-1677.68</v>
      </c>
      <c r="K54" s="2">
        <f t="shared" ref="K54:L54" si="22">0</f>
        <v>0</v>
      </c>
      <c r="L54" s="2">
        <f t="shared" si="22"/>
        <v>0</v>
      </c>
      <c r="M54" s="2">
        <f>--20350.8</f>
        <v>20350.8</v>
      </c>
      <c r="N54" s="2"/>
      <c r="O54" s="2"/>
      <c r="Q54" s="2">
        <f>SUM(OSRRefD11_43x)+IFERROR(SUM(OSRRefE11_43x),0)</f>
        <v>74066.89</v>
      </c>
    </row>
    <row r="55" spans="1:17" s="9" customFormat="1" hidden="1" outlineLevel="1" x14ac:dyDescent="0.25">
      <c r="A55" s="23"/>
      <c r="B55" s="10" t="str">
        <f>CONCATENATE("          ","4146", " - ","NON-TAXABLE SALES-COIN OP MACH")</f>
        <v xml:space="preserve">          4146 - NON-TAXABLE SALES-COIN OP MACH</v>
      </c>
      <c r="C55" s="22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>
        <f>--21.5</f>
        <v>21.5</v>
      </c>
      <c r="I55" s="2">
        <f>--19.9</f>
        <v>19.899999999999999</v>
      </c>
      <c r="J55" s="2">
        <f>--12.7</f>
        <v>12.7</v>
      </c>
      <c r="K55" s="2">
        <f>--67.8</f>
        <v>67.8</v>
      </c>
      <c r="L55" s="2">
        <f>--90.7</f>
        <v>90.7</v>
      </c>
      <c r="M55" s="2">
        <f>--30.2</f>
        <v>30.2</v>
      </c>
      <c r="N55" s="2"/>
      <c r="O55" s="2"/>
      <c r="Q55" s="2">
        <f>SUM(OSRRefD11_44x)+IFERROR(SUM(OSRRefE11_44x),0)</f>
        <v>329.29999999999995</v>
      </c>
    </row>
    <row r="56" spans="1:17" s="9" customFormat="1" hidden="1" outlineLevel="1" x14ac:dyDescent="0.25">
      <c r="A56" s="23"/>
      <c r="B56" s="10" t="str">
        <f>CONCATENATE("          ","4147", " - ","NON-TAXABLE SALES-MISC")</f>
        <v xml:space="preserve">          4147 - NON-TAXABLE SALES-MISC</v>
      </c>
      <c r="C56" s="22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>
        <f>--5</f>
        <v>5</v>
      </c>
      <c r="I56" s="2">
        <f>--13</f>
        <v>13</v>
      </c>
      <c r="J56" s="2">
        <f>--11</f>
        <v>11</v>
      </c>
      <c r="K56" s="2">
        <f>--17</f>
        <v>17</v>
      </c>
      <c r="L56" s="2">
        <f t="shared" ref="L56:M56" si="23">--11</f>
        <v>11</v>
      </c>
      <c r="M56" s="2">
        <f t="shared" si="23"/>
        <v>11</v>
      </c>
      <c r="N56" s="2"/>
      <c r="O56" s="2"/>
      <c r="Q56" s="2">
        <f>SUM(OSRRefD11_45x)+IFERROR(SUM(OSRRefE11_45x),0)</f>
        <v>154.5</v>
      </c>
    </row>
    <row r="57" spans="1:17" s="9" customFormat="1" hidden="1" outlineLevel="1" x14ac:dyDescent="0.25">
      <c r="A57" s="23"/>
      <c r="B57" s="10" t="str">
        <f>CONCATENATE("          ","4153", " - ","NON-TAXABLE SALES-FOOD")</f>
        <v xml:space="preserve">          4153 - NON-TAXABLE SALES-FOOD</v>
      </c>
      <c r="C57" s="22"/>
      <c r="D57" s="2">
        <f>0</f>
        <v>0</v>
      </c>
      <c r="E57" s="2">
        <f>--110</f>
        <v>110</v>
      </c>
      <c r="F57" s="2">
        <f t="shared" ref="F57:J57" si="24">0</f>
        <v>0</v>
      </c>
      <c r="G57" s="2">
        <f t="shared" si="24"/>
        <v>0</v>
      </c>
      <c r="H57" s="2">
        <f t="shared" si="24"/>
        <v>0</v>
      </c>
      <c r="I57" s="2">
        <f t="shared" si="24"/>
        <v>0</v>
      </c>
      <c r="J57" s="2">
        <f t="shared" si="24"/>
        <v>0</v>
      </c>
      <c r="K57" s="2">
        <f>--134</f>
        <v>134</v>
      </c>
      <c r="L57" s="2">
        <f>--100.55</f>
        <v>100.55</v>
      </c>
      <c r="M57" s="2">
        <f>--51.9</f>
        <v>51.9</v>
      </c>
      <c r="N57" s="2"/>
      <c r="O57" s="2"/>
      <c r="Q57" s="2">
        <f>SUM(OSRRefD11_46x)+IFERROR(SUM(OSRRefE11_46x),0)</f>
        <v>396.45</v>
      </c>
    </row>
    <row r="58" spans="1:17" s="9" customFormat="1" hidden="1" outlineLevel="1" x14ac:dyDescent="0.25">
      <c r="A58" s="23"/>
      <c r="B58" s="10" t="str">
        <f>CONCATENATE("          ","4201", " - ","SALES RETURN TAXABLE-NEW TEXT")</f>
        <v xml:space="preserve">          4201 - SALES RETURN TAXABLE-NEW TEXT</v>
      </c>
      <c r="C58" s="22"/>
      <c r="D58" s="2">
        <f>-633.4</f>
        <v>-633.4</v>
      </c>
      <c r="E58" s="2">
        <f>-18222.39</f>
        <v>-18222.39</v>
      </c>
      <c r="F58" s="2">
        <f>-13393.2</f>
        <v>-13393.2</v>
      </c>
      <c r="G58" s="2">
        <f>-1512.25</f>
        <v>-1512.25</v>
      </c>
      <c r="H58" s="2">
        <f>-1333.42</f>
        <v>-1333.42</v>
      </c>
      <c r="I58" s="2">
        <f>-681.18</f>
        <v>-681.18</v>
      </c>
      <c r="J58" s="2">
        <f>-12741.9</f>
        <v>-12741.9</v>
      </c>
      <c r="K58" s="2">
        <f>-2146.49</f>
        <v>-2146.4899999999998</v>
      </c>
      <c r="L58" s="2">
        <f>-596.94</f>
        <v>-596.94000000000005</v>
      </c>
      <c r="M58" s="2">
        <f>-376.85</f>
        <v>-376.85</v>
      </c>
      <c r="N58" s="2"/>
      <c r="O58" s="2"/>
      <c r="Q58" s="2">
        <f>SUM(OSRRefD11_47x)+IFERROR(SUM(OSRRefE11_47x),0)</f>
        <v>-51638.020000000004</v>
      </c>
    </row>
    <row r="59" spans="1:17" s="9" customFormat="1" hidden="1" outlineLevel="1" x14ac:dyDescent="0.25">
      <c r="A59" s="23"/>
      <c r="B59" s="10" t="str">
        <f>CONCATENATE("          ","4202", " - ","SALES RETURN TAXABLE-USED TEXT")</f>
        <v xml:space="preserve">          4202 - SALES RETURN TAXABLE-USED TEXT</v>
      </c>
      <c r="C59" s="22"/>
      <c r="D59" s="2">
        <f>-178.35</f>
        <v>-178.35</v>
      </c>
      <c r="E59" s="2">
        <f>-8869.4</f>
        <v>-8869.4</v>
      </c>
      <c r="F59" s="2">
        <f>-1345.2</f>
        <v>-1345.2</v>
      </c>
      <c r="G59" s="2">
        <f>-136.05</f>
        <v>-136.05000000000001</v>
      </c>
      <c r="H59" s="2">
        <f>-3274.35</f>
        <v>-3274.35</v>
      </c>
      <c r="I59" s="2">
        <f>-62.65</f>
        <v>-62.65</v>
      </c>
      <c r="J59" s="2">
        <f>-4670.3</f>
        <v>-4670.3</v>
      </c>
      <c r="K59" s="2">
        <f>-1199.21</f>
        <v>-1199.21</v>
      </c>
      <c r="L59" s="2">
        <f>-153.8</f>
        <v>-153.80000000000001</v>
      </c>
      <c r="M59" s="2">
        <f>-206.95</f>
        <v>-206.95</v>
      </c>
      <c r="N59" s="2"/>
      <c r="O59" s="2"/>
      <c r="Q59" s="2">
        <f>SUM(OSRRefD11_48x)+IFERROR(SUM(OSRRefE11_48x),0)</f>
        <v>-20096.259999999998</v>
      </c>
    </row>
    <row r="60" spans="1:17" s="9" customFormat="1" hidden="1" outlineLevel="1" x14ac:dyDescent="0.25">
      <c r="A60" s="23"/>
      <c r="B60" s="10" t="str">
        <f>CONCATENATE("          ","4204", " - ","SALES RETURN TAXABLE-DIGITAL T")</f>
        <v xml:space="preserve">          4204 - SALES RETURN TAXABLE-DIGITAL T</v>
      </c>
      <c r="C60" s="22"/>
      <c r="D60" s="2">
        <f t="shared" ref="D60:D62" si="25">0</f>
        <v>0</v>
      </c>
      <c r="E60" s="2">
        <f>-1141.08</f>
        <v>-1141.08</v>
      </c>
      <c r="F60" s="2">
        <f>-105.87</f>
        <v>-105.87</v>
      </c>
      <c r="G60" s="2">
        <f>-383.9</f>
        <v>-383.9</v>
      </c>
      <c r="H60" s="2">
        <f t="shared" ref="H60:J63" si="26">0</f>
        <v>0</v>
      </c>
      <c r="I60" s="2">
        <f t="shared" si="26"/>
        <v>0</v>
      </c>
      <c r="J60" s="2">
        <f t="shared" si="26"/>
        <v>0</v>
      </c>
      <c r="K60" s="2">
        <f>-132.25</f>
        <v>-132.25</v>
      </c>
      <c r="L60" s="2">
        <f t="shared" ref="L60:M61" si="27">0</f>
        <v>0</v>
      </c>
      <c r="M60" s="2">
        <f t="shared" si="27"/>
        <v>0</v>
      </c>
      <c r="N60" s="2"/>
      <c r="O60" s="2"/>
      <c r="Q60" s="2">
        <f>SUM(OSRRefD11_49x)+IFERROR(SUM(OSRRefE11_49x),0)</f>
        <v>-1763.1</v>
      </c>
    </row>
    <row r="61" spans="1:17" s="9" customFormat="1" hidden="1" outlineLevel="1" x14ac:dyDescent="0.25">
      <c r="A61" s="23"/>
      <c r="B61" s="10" t="str">
        <f>CONCATENATE("          ","4213", " - ","NON-TAXABLE SALES-TRADE BOOKS")</f>
        <v xml:space="preserve">          4213 - NON-TAXABLE SALES-TRADE BOOKS</v>
      </c>
      <c r="C61" s="22"/>
      <c r="D61" s="2">
        <f t="shared" si="25"/>
        <v>0</v>
      </c>
      <c r="E61" s="2">
        <f t="shared" ref="E61:E63" si="28">0</f>
        <v>0</v>
      </c>
      <c r="F61" s="2">
        <f t="shared" ref="F61:G62" si="29">0</f>
        <v>0</v>
      </c>
      <c r="G61" s="2">
        <f t="shared" si="29"/>
        <v>0</v>
      </c>
      <c r="H61" s="2">
        <f t="shared" si="26"/>
        <v>0</v>
      </c>
      <c r="I61" s="2">
        <f t="shared" si="26"/>
        <v>0</v>
      </c>
      <c r="J61" s="2">
        <f t="shared" si="26"/>
        <v>0</v>
      </c>
      <c r="K61" s="2">
        <f>-69.93</f>
        <v>-69.930000000000007</v>
      </c>
      <c r="L61" s="2">
        <f t="shared" si="27"/>
        <v>0</v>
      </c>
      <c r="M61" s="2">
        <f t="shared" si="27"/>
        <v>0</v>
      </c>
      <c r="N61" s="2"/>
      <c r="O61" s="2"/>
      <c r="Q61" s="2">
        <f>SUM(OSRRefD11_50x)+IFERROR(SUM(OSRRefE11_50x),0)</f>
        <v>-69.930000000000007</v>
      </c>
    </row>
    <row r="62" spans="1:17" s="9" customFormat="1" hidden="1" outlineLevel="1" x14ac:dyDescent="0.25">
      <c r="A62" s="23"/>
      <c r="B62" s="10" t="str">
        <f>CONCATENATE("          ","4218", " - ","SALES RETURN TAXABLE-STUDY GUI")</f>
        <v xml:space="preserve">          4218 - SALES RETURN TAXABLE-STUDY GUI</v>
      </c>
      <c r="C62" s="22"/>
      <c r="D62" s="2">
        <f t="shared" si="25"/>
        <v>0</v>
      </c>
      <c r="E62" s="2">
        <f t="shared" si="28"/>
        <v>0</v>
      </c>
      <c r="F62" s="2">
        <f t="shared" si="29"/>
        <v>0</v>
      </c>
      <c r="G62" s="2">
        <f t="shared" si="29"/>
        <v>0</v>
      </c>
      <c r="H62" s="2">
        <f t="shared" si="26"/>
        <v>0</v>
      </c>
      <c r="I62" s="2">
        <f t="shared" si="26"/>
        <v>0</v>
      </c>
      <c r="J62" s="2">
        <f t="shared" si="26"/>
        <v>0</v>
      </c>
      <c r="K62" s="2">
        <f t="shared" ref="K62:K63" si="30">0</f>
        <v>0</v>
      </c>
      <c r="L62" s="2">
        <f>-5.21</f>
        <v>-5.21</v>
      </c>
      <c r="M62" s="2">
        <f t="shared" ref="M62:M63" si="31">0</f>
        <v>0</v>
      </c>
      <c r="N62" s="2"/>
      <c r="O62" s="2"/>
      <c r="Q62" s="2">
        <f>SUM(OSRRefD11_51x)+IFERROR(SUM(OSRRefE11_51x),0)</f>
        <v>-5.21</v>
      </c>
    </row>
    <row r="63" spans="1:17" s="9" customFormat="1" hidden="1" outlineLevel="1" x14ac:dyDescent="0.25">
      <c r="A63" s="23"/>
      <c r="B63" s="10" t="str">
        <f>CONCATENATE("          ","4226", " - ","SALES RETURN TAXABLE-WRITING I")</f>
        <v xml:space="preserve">          4226 - SALES RETURN TAXABLE-WRITING I</v>
      </c>
      <c r="C63" s="22"/>
      <c r="D63" s="2">
        <f>-6.38</f>
        <v>-6.38</v>
      </c>
      <c r="E63" s="2">
        <f t="shared" si="28"/>
        <v>0</v>
      </c>
      <c r="F63" s="2">
        <f>-22.49</f>
        <v>-22.49</v>
      </c>
      <c r="G63" s="2">
        <f>-5.36</f>
        <v>-5.36</v>
      </c>
      <c r="H63" s="2">
        <f t="shared" si="26"/>
        <v>0</v>
      </c>
      <c r="I63" s="2">
        <f t="shared" si="26"/>
        <v>0</v>
      </c>
      <c r="J63" s="2">
        <f t="shared" si="26"/>
        <v>0</v>
      </c>
      <c r="K63" s="2">
        <f t="shared" si="30"/>
        <v>0</v>
      </c>
      <c r="L63" s="2">
        <f>0</f>
        <v>0</v>
      </c>
      <c r="M63" s="2">
        <f t="shared" si="31"/>
        <v>0</v>
      </c>
      <c r="N63" s="2"/>
      <c r="O63" s="2"/>
      <c r="Q63" s="2">
        <f>SUM(OSRRefD11_52x)+IFERROR(SUM(OSRRefE11_52x),0)</f>
        <v>-34.229999999999997</v>
      </c>
    </row>
    <row r="64" spans="1:17" s="9" customFormat="1" hidden="1" outlineLevel="1" x14ac:dyDescent="0.25">
      <c r="A64" s="23"/>
      <c r="B64" s="10" t="str">
        <f>CONCATENATE("          ","4227", " - ","SALES RETURN TAXABLE-SCHOOL SU")</f>
        <v xml:space="preserve">          4227 - SALES RETURN TAXABLE-SCHOOL SU</v>
      </c>
      <c r="C64" s="22"/>
      <c r="D64" s="2">
        <f>-56.77</f>
        <v>-56.77</v>
      </c>
      <c r="E64" s="2">
        <f>-359.61</f>
        <v>-359.61</v>
      </c>
      <c r="F64" s="2">
        <f>-152.29</f>
        <v>-152.29</v>
      </c>
      <c r="G64" s="2">
        <f>-9.99</f>
        <v>-9.99</v>
      </c>
      <c r="H64" s="2">
        <f>-31.98</f>
        <v>-31.98</v>
      </c>
      <c r="I64" s="2">
        <f>-25.82</f>
        <v>-25.82</v>
      </c>
      <c r="J64" s="2">
        <f>-126.22</f>
        <v>-126.22</v>
      </c>
      <c r="K64" s="2">
        <f>-19.05</f>
        <v>-19.05</v>
      </c>
      <c r="L64" s="2">
        <f>-64.39</f>
        <v>-64.39</v>
      </c>
      <c r="M64" s="2">
        <f>-500.54</f>
        <v>-500.54</v>
      </c>
      <c r="N64" s="2"/>
      <c r="O64" s="2"/>
      <c r="Q64" s="2">
        <f>SUM(OSRRefD11_53x)+IFERROR(SUM(OSRRefE11_53x),0)</f>
        <v>-1346.66</v>
      </c>
    </row>
    <row r="65" spans="1:17" s="9" customFormat="1" hidden="1" outlineLevel="1" x14ac:dyDescent="0.25">
      <c r="A65" s="23"/>
      <c r="B65" s="10" t="str">
        <f>CONCATENATE("          ","4228", " - ","SALES RETURN TAXABLE-ART/TECH")</f>
        <v xml:space="preserve">          4228 - SALES RETURN TAXABLE-ART/TECH</v>
      </c>
      <c r="C65" s="22"/>
      <c r="D65" s="2">
        <f>0</f>
        <v>0</v>
      </c>
      <c r="E65" s="2">
        <f>-164.44</f>
        <v>-164.44</v>
      </c>
      <c r="F65" s="2">
        <f>-57.76</f>
        <v>-57.76</v>
      </c>
      <c r="G65" s="2">
        <f>0</f>
        <v>0</v>
      </c>
      <c r="H65" s="2">
        <f>-32.49</f>
        <v>-32.49</v>
      </c>
      <c r="I65" s="2">
        <f>0</f>
        <v>0</v>
      </c>
      <c r="J65" s="2">
        <f>-12473.84</f>
        <v>-12473.84</v>
      </c>
      <c r="K65" s="2">
        <f>-10.71</f>
        <v>-10.71</v>
      </c>
      <c r="L65" s="2">
        <f>-98.38</f>
        <v>-98.38</v>
      </c>
      <c r="M65" s="2">
        <f>-136.11</f>
        <v>-136.11000000000001</v>
      </c>
      <c r="N65" s="2"/>
      <c r="O65" s="2"/>
      <c r="Q65" s="2">
        <f>SUM(OSRRefD11_54x)+IFERROR(SUM(OSRRefE11_54x),0)</f>
        <v>-12973.73</v>
      </c>
    </row>
    <row r="66" spans="1:17" s="9" customFormat="1" hidden="1" outlineLevel="1" x14ac:dyDescent="0.25">
      <c r="A66" s="23"/>
      <c r="B66" s="10" t="str">
        <f>CONCATENATE("          ","4240", " - ","SALES RETURN TAXABLE-LOGO CLOT")</f>
        <v xml:space="preserve">          4240 - SALES RETURN TAXABLE-LOGO CLOT</v>
      </c>
      <c r="C66" s="22"/>
      <c r="D66" s="2">
        <f>-3368.1</f>
        <v>-3368.1</v>
      </c>
      <c r="E66" s="2">
        <f>-4788.72</f>
        <v>-4788.72</v>
      </c>
      <c r="F66" s="2">
        <f>-3453.14</f>
        <v>-3453.14</v>
      </c>
      <c r="G66" s="2">
        <f>-2239.56</f>
        <v>-2239.56</v>
      </c>
      <c r="H66" s="2">
        <f>-1729.15</f>
        <v>-1729.15</v>
      </c>
      <c r="I66" s="2">
        <f>-4840.17</f>
        <v>-4840.17</v>
      </c>
      <c r="J66" s="2">
        <f>-7168.03</f>
        <v>-7168.03</v>
      </c>
      <c r="K66" s="2">
        <f>-3542.64</f>
        <v>-3542.64</v>
      </c>
      <c r="L66" s="2">
        <f>-3924.84</f>
        <v>-3924.84</v>
      </c>
      <c r="M66" s="2">
        <f>-5611.92</f>
        <v>-5611.92</v>
      </c>
      <c r="N66" s="2"/>
      <c r="O66" s="2"/>
      <c r="Q66" s="2">
        <f>SUM(OSRRefD11_55x)+IFERROR(SUM(OSRRefE11_55x),0)</f>
        <v>-40666.26999999999</v>
      </c>
    </row>
    <row r="67" spans="1:17" s="9" customFormat="1" hidden="1" outlineLevel="1" x14ac:dyDescent="0.25">
      <c r="A67" s="23"/>
      <c r="B67" s="10" t="str">
        <f>CONCATENATE("          ","4241", " - ","SALES RETURN TAXABLE-LOGO GIFT")</f>
        <v xml:space="preserve">          4241 - SALES RETURN TAXABLE-LOGO GIFT</v>
      </c>
      <c r="C67" s="22"/>
      <c r="D67" s="2">
        <f>-341.98</f>
        <v>-341.98</v>
      </c>
      <c r="E67" s="2">
        <f>-986.21</f>
        <v>-986.21</v>
      </c>
      <c r="F67" s="2">
        <f>-988.92</f>
        <v>-988.92</v>
      </c>
      <c r="G67" s="2">
        <f>-379.45</f>
        <v>-379.45</v>
      </c>
      <c r="H67" s="2">
        <f>-108.29</f>
        <v>-108.29</v>
      </c>
      <c r="I67" s="2">
        <f>-755.16</f>
        <v>-755.16</v>
      </c>
      <c r="J67" s="2">
        <f>-1397.46</f>
        <v>-1397.46</v>
      </c>
      <c r="K67" s="2">
        <f>-338.05</f>
        <v>-338.05</v>
      </c>
      <c r="L67" s="2">
        <f>-1222.82</f>
        <v>-1222.82</v>
      </c>
      <c r="M67" s="2">
        <f>-5656.91</f>
        <v>-5656.91</v>
      </c>
      <c r="N67" s="2"/>
      <c r="O67" s="2"/>
      <c r="Q67" s="2">
        <f>SUM(OSRRefD11_56x)+IFERROR(SUM(OSRRefE11_56x),0)</f>
        <v>-12175.25</v>
      </c>
    </row>
    <row r="68" spans="1:17" s="9" customFormat="1" hidden="1" outlineLevel="1" x14ac:dyDescent="0.25">
      <c r="A68" s="23"/>
      <c r="B68" s="10" t="str">
        <f>CONCATENATE("          ","4242", " - ","SALES RETURN TAXABLE-EVERYDAY")</f>
        <v xml:space="preserve">          4242 - SALES RETURN TAXABLE-EVERYDAY</v>
      </c>
      <c r="C68" s="22"/>
      <c r="D68" s="2">
        <f>-178.96</f>
        <v>-178.96</v>
      </c>
      <c r="E68" s="2">
        <f>-470.53</f>
        <v>-470.53</v>
      </c>
      <c r="F68" s="2">
        <f>-405.07</f>
        <v>-405.07</v>
      </c>
      <c r="G68" s="2">
        <f>-266.95</f>
        <v>-266.95</v>
      </c>
      <c r="H68" s="2">
        <f>-7.48</f>
        <v>-7.48</v>
      </c>
      <c r="I68" s="2">
        <f>-287.93</f>
        <v>-287.93</v>
      </c>
      <c r="J68" s="2">
        <f>-76.86</f>
        <v>-76.86</v>
      </c>
      <c r="K68" s="2">
        <f>-44.96</f>
        <v>-44.96</v>
      </c>
      <c r="L68" s="2">
        <f>-565.08</f>
        <v>-565.08000000000004</v>
      </c>
      <c r="M68" s="2">
        <f>-332.27</f>
        <v>-332.27</v>
      </c>
      <c r="N68" s="2"/>
      <c r="O68" s="2"/>
      <c r="Q68" s="2">
        <f>SUM(OSRRefD11_57x)+IFERROR(SUM(OSRRefE11_57x),0)</f>
        <v>-2636.09</v>
      </c>
    </row>
    <row r="69" spans="1:17" s="9" customFormat="1" hidden="1" outlineLevel="1" x14ac:dyDescent="0.25">
      <c r="A69" s="23"/>
      <c r="B69" s="10" t="str">
        <f>CONCATENATE("          ","4243", " - ","SALES RETURN TAXABLE-CARDS")</f>
        <v xml:space="preserve">          4243 - SALES RETURN TAXABLE-CARDS</v>
      </c>
      <c r="C69" s="22"/>
      <c r="D69" s="2">
        <f t="shared" ref="D69:D70" si="32">0</f>
        <v>0</v>
      </c>
      <c r="E69" s="2">
        <f>-93.43</f>
        <v>-93.43</v>
      </c>
      <c r="F69" s="2">
        <f>-59.94</f>
        <v>-59.94</v>
      </c>
      <c r="G69" s="2">
        <f>-829.55</f>
        <v>-829.55</v>
      </c>
      <c r="H69" s="2">
        <f>-829.54</f>
        <v>-829.54</v>
      </c>
      <c r="I69" s="2">
        <f>-1765.08</f>
        <v>-1765.08</v>
      </c>
      <c r="J69" s="2">
        <f>-1422.25</f>
        <v>-1422.25</v>
      </c>
      <c r="K69" s="2">
        <f>-369.81</f>
        <v>-369.81</v>
      </c>
      <c r="L69" s="2">
        <f>-572.63</f>
        <v>-572.63</v>
      </c>
      <c r="M69" s="2">
        <f>-199.86</f>
        <v>-199.86</v>
      </c>
      <c r="N69" s="2"/>
      <c r="O69" s="2"/>
      <c r="Q69" s="2">
        <f>SUM(OSRRefD11_58x)+IFERROR(SUM(OSRRefE11_58x),0)</f>
        <v>-6142.09</v>
      </c>
    </row>
    <row r="70" spans="1:17" s="9" customFormat="1" hidden="1" outlineLevel="1" x14ac:dyDescent="0.25">
      <c r="A70" s="23"/>
      <c r="B70" s="10" t="str">
        <f>CONCATENATE("          ","4244", " - ","SALES RETURN TAXABLE-ACCESSORI")</f>
        <v xml:space="preserve">          4244 - SALES RETURN TAXABLE-ACCESSORI</v>
      </c>
      <c r="C70" s="22"/>
      <c r="D70" s="2">
        <f t="shared" si="32"/>
        <v>0</v>
      </c>
      <c r="E70" s="2">
        <f>-350.99</f>
        <v>-350.99</v>
      </c>
      <c r="F70" s="2">
        <f>-60</f>
        <v>-60</v>
      </c>
      <c r="G70" s="2">
        <f>0</f>
        <v>0</v>
      </c>
      <c r="H70" s="2">
        <f>-179.95</f>
        <v>-179.95</v>
      </c>
      <c r="I70" s="2">
        <f>-299.93</f>
        <v>-299.93</v>
      </c>
      <c r="J70" s="2">
        <f>-93.98</f>
        <v>-93.98</v>
      </c>
      <c r="K70" s="2">
        <f>-9.99</f>
        <v>-9.99</v>
      </c>
      <c r="L70" s="2">
        <f>-240.42</f>
        <v>-240.42</v>
      </c>
      <c r="M70" s="2">
        <f>-8.24</f>
        <v>-8.24</v>
      </c>
      <c r="N70" s="2"/>
      <c r="O70" s="2"/>
      <c r="Q70" s="2">
        <f>SUM(OSRRefD11_59x)+IFERROR(SUM(OSRRefE11_59x),0)</f>
        <v>-1243.5000000000002</v>
      </c>
    </row>
    <row r="71" spans="1:17" s="9" customFormat="1" hidden="1" outlineLevel="1" x14ac:dyDescent="0.25">
      <c r="A71" s="23"/>
      <c r="B71" s="10" t="str">
        <f>CONCATENATE("          ","4245", " - ","SALES RETURN TAXABLE-SPECIAL O")</f>
        <v xml:space="preserve">          4245 - SALES RETURN TAXABLE-SPECIAL O</v>
      </c>
      <c r="C71" s="22"/>
      <c r="D71" s="2">
        <f>-1121</f>
        <v>-1121</v>
      </c>
      <c r="E71" s="2">
        <f>-57.96</f>
        <v>-57.96</v>
      </c>
      <c r="F71" s="2">
        <f>-3.99</f>
        <v>-3.99</v>
      </c>
      <c r="G71" s="2">
        <f>-363.98</f>
        <v>-363.98</v>
      </c>
      <c r="H71" s="2">
        <f>-45.89</f>
        <v>-45.89</v>
      </c>
      <c r="I71" s="2">
        <f>-9752.79</f>
        <v>-9752.7900000000009</v>
      </c>
      <c r="J71" s="2">
        <f>0</f>
        <v>0</v>
      </c>
      <c r="K71" s="2">
        <f>-7.98</f>
        <v>-7.98</v>
      </c>
      <c r="L71" s="2">
        <f t="shared" ref="L71:L72" si="33">0</f>
        <v>0</v>
      </c>
      <c r="M71" s="2">
        <f>-4071.14</f>
        <v>-4071.14</v>
      </c>
      <c r="N71" s="2"/>
      <c r="O71" s="2"/>
      <c r="Q71" s="2">
        <f>SUM(OSRRefD11_60x)+IFERROR(SUM(OSRRefE11_60x),0)</f>
        <v>-15424.73</v>
      </c>
    </row>
    <row r="72" spans="1:17" s="9" customFormat="1" hidden="1" outlineLevel="1" x14ac:dyDescent="0.25">
      <c r="A72" s="23"/>
      <c r="B72" s="10" t="str">
        <f>CONCATENATE("          ","4301", " - ","SALES RETURN NON TAXABLE-NEW T")</f>
        <v xml:space="preserve">          4301 - SALES RETURN NON TAXABLE-NEW T</v>
      </c>
      <c r="C72" s="22"/>
      <c r="D72" s="2">
        <f>0</f>
        <v>0</v>
      </c>
      <c r="E72" s="2">
        <f>-20.25</f>
        <v>-20.25</v>
      </c>
      <c r="F72" s="2">
        <f>-1820.43</f>
        <v>-1820.43</v>
      </c>
      <c r="G72" s="2">
        <f>-535.49</f>
        <v>-535.49</v>
      </c>
      <c r="H72" s="2">
        <f>0</f>
        <v>0</v>
      </c>
      <c r="I72" s="2">
        <f>-372.93</f>
        <v>-372.93</v>
      </c>
      <c r="J72" s="2">
        <f>-256.69</f>
        <v>-256.69</v>
      </c>
      <c r="K72" s="2">
        <f>-231.5</f>
        <v>-231.5</v>
      </c>
      <c r="L72" s="2">
        <f t="shared" si="33"/>
        <v>0</v>
      </c>
      <c r="M72" s="2">
        <f>-225.91</f>
        <v>-225.91</v>
      </c>
      <c r="N72" s="2"/>
      <c r="O72" s="2"/>
      <c r="Q72" s="2">
        <f>SUM(OSRRefD11_61x)+IFERROR(SUM(OSRRefE11_61x),0)</f>
        <v>-3463.2</v>
      </c>
    </row>
    <row r="73" spans="1:17" s="9" customFormat="1" hidden="1" outlineLevel="1" x14ac:dyDescent="0.25">
      <c r="A73" s="23"/>
      <c r="B73" s="10" t="str">
        <f>CONCATENATE("          ","4302", " - ","SALES RETURN NON TAXABLE-TEXT")</f>
        <v xml:space="preserve">          4302 - SALES RETURN NON TAXABLE-TEXT</v>
      </c>
      <c r="C73" s="22"/>
      <c r="D73" s="2">
        <f>-63.67</f>
        <v>-63.67</v>
      </c>
      <c r="E73" s="2">
        <f>-346.17</f>
        <v>-346.17</v>
      </c>
      <c r="F73" s="2">
        <f>-737.24</f>
        <v>-737.24</v>
      </c>
      <c r="G73" s="2">
        <f>-169.72</f>
        <v>-169.72</v>
      </c>
      <c r="H73" s="2">
        <f>-76.05</f>
        <v>-76.05</v>
      </c>
      <c r="I73" s="2">
        <f>-77.35</f>
        <v>-77.349999999999994</v>
      </c>
      <c r="J73" s="2">
        <f>-532.96</f>
        <v>-532.96</v>
      </c>
      <c r="K73" s="2">
        <f>-70.32</f>
        <v>-70.319999999999993</v>
      </c>
      <c r="L73" s="2">
        <f>-270.87</f>
        <v>-270.87</v>
      </c>
      <c r="M73" s="2">
        <f>-98.97</f>
        <v>-98.97</v>
      </c>
      <c r="N73" s="2"/>
      <c r="O73" s="2"/>
      <c r="Q73" s="2">
        <f>SUM(OSRRefD11_62x)+IFERROR(SUM(OSRRefE11_62x),0)</f>
        <v>-2443.3199999999997</v>
      </c>
    </row>
    <row r="74" spans="1:17" s="9" customFormat="1" hidden="1" outlineLevel="1" x14ac:dyDescent="0.25">
      <c r="A74" s="23"/>
      <c r="B74" s="10" t="str">
        <f>CONCATENATE("          ","4304", " - ","SALES RETURN NON TAXABLE-DIGIT")</f>
        <v xml:space="preserve">          4304 - SALES RETURN NON TAXABLE-DIGIT</v>
      </c>
      <c r="C74" s="22"/>
      <c r="D74" s="2">
        <f>-452.05</f>
        <v>-452.05</v>
      </c>
      <c r="E74" s="2">
        <f>-5500.68</f>
        <v>-5500.68</v>
      </c>
      <c r="F74" s="2">
        <f>-7456.63</f>
        <v>-7456.63</v>
      </c>
      <c r="G74" s="2">
        <f>-692.75</f>
        <v>-692.75</v>
      </c>
      <c r="H74" s="2">
        <f>-176.43</f>
        <v>-176.43</v>
      </c>
      <c r="I74" s="2">
        <f>-144.23</f>
        <v>-144.22999999999999</v>
      </c>
      <c r="J74" s="2">
        <f>-10673</f>
        <v>-10673</v>
      </c>
      <c r="K74" s="2">
        <f>-2172.95</f>
        <v>-2172.9499999999998</v>
      </c>
      <c r="L74" s="2">
        <f>-275.04</f>
        <v>-275.04000000000002</v>
      </c>
      <c r="M74" s="2">
        <f>0</f>
        <v>0</v>
      </c>
      <c r="N74" s="2"/>
      <c r="O74" s="2"/>
      <c r="Q74" s="2">
        <f>SUM(OSRRefD11_63x)+IFERROR(SUM(OSRRefE11_63x),0)</f>
        <v>-27543.760000000002</v>
      </c>
    </row>
    <row r="75" spans="1:17" s="9" customFormat="1" hidden="1" outlineLevel="1" x14ac:dyDescent="0.25">
      <c r="A75" s="23"/>
      <c r="B75" s="10" t="str">
        <f>CONCATENATE("          ","4340", " - ","SALES RETURN NON TAXABLE-LOGO")</f>
        <v xml:space="preserve">          4340 - SALES RETURN NON TAXABLE-LOGO</v>
      </c>
      <c r="C75" s="22"/>
      <c r="D75" s="2">
        <f>-434.24</f>
        <v>-434.24</v>
      </c>
      <c r="E75" s="2">
        <f>-69.9</f>
        <v>-69.900000000000006</v>
      </c>
      <c r="F75" s="2">
        <f>-36.9</f>
        <v>-36.9</v>
      </c>
      <c r="G75" s="2">
        <f>-195.69</f>
        <v>-195.69</v>
      </c>
      <c r="H75" s="2">
        <f>-203.75</f>
        <v>-203.75</v>
      </c>
      <c r="I75" s="2">
        <f>-543.24</f>
        <v>-543.24</v>
      </c>
      <c r="J75" s="2">
        <f>-732.22</f>
        <v>-732.22</v>
      </c>
      <c r="K75" s="2">
        <f>-76.9</f>
        <v>-76.900000000000006</v>
      </c>
      <c r="L75" s="2">
        <f>-350.55</f>
        <v>-350.55</v>
      </c>
      <c r="M75" s="2">
        <f>-664.13</f>
        <v>-664.13</v>
      </c>
      <c r="N75" s="2"/>
      <c r="O75" s="2"/>
      <c r="Q75" s="2">
        <f>SUM(OSRRefD11_64x)+IFERROR(SUM(OSRRefE11_64x),0)</f>
        <v>-3307.5200000000004</v>
      </c>
    </row>
    <row r="76" spans="1:17" s="9" customFormat="1" hidden="1" outlineLevel="1" x14ac:dyDescent="0.25">
      <c r="A76" s="23"/>
      <c r="B76" s="10" t="str">
        <f>CONCATENATE("          ","4341", " - ","SALES RETURN NON TAXABLE-LOGO")</f>
        <v xml:space="preserve">          4341 - SALES RETURN NON TAXABLE-LOGO</v>
      </c>
      <c r="C76" s="22"/>
      <c r="D76" s="2">
        <f>-16.95</f>
        <v>-16.95</v>
      </c>
      <c r="E76" s="2">
        <f>0</f>
        <v>0</v>
      </c>
      <c r="F76" s="2">
        <f>-129.95</f>
        <v>-129.94999999999999</v>
      </c>
      <c r="G76" s="2">
        <f t="shared" ref="G76:G77" si="34">0</f>
        <v>0</v>
      </c>
      <c r="H76" s="2">
        <f>-154.89</f>
        <v>-154.88999999999999</v>
      </c>
      <c r="I76" s="2">
        <f>-33.85</f>
        <v>-33.85</v>
      </c>
      <c r="J76" s="2">
        <f>-27</f>
        <v>-27</v>
      </c>
      <c r="K76" s="2">
        <f t="shared" ref="K76:K77" si="35">0</f>
        <v>0</v>
      </c>
      <c r="L76" s="2">
        <f>-29.9</f>
        <v>-29.9</v>
      </c>
      <c r="M76" s="2">
        <f>-9.9</f>
        <v>-9.9</v>
      </c>
      <c r="N76" s="2"/>
      <c r="O76" s="2"/>
      <c r="Q76" s="2">
        <f>SUM(OSRRefD11_65x)+IFERROR(SUM(OSRRefE11_65x),0)</f>
        <v>-402.43999999999994</v>
      </c>
    </row>
    <row r="77" spans="1:17" s="9" customFormat="1" hidden="1" outlineLevel="1" x14ac:dyDescent="0.25">
      <c r="A77" s="23"/>
      <c r="B77" s="10" t="str">
        <f>CONCATENATE("          ","4342", " - ","SALES RETURN NON TAXABLE-EVERY")</f>
        <v xml:space="preserve">          4342 - SALES RETURN NON TAXABLE-EVERY</v>
      </c>
      <c r="C77" s="22"/>
      <c r="D77" s="2">
        <f>-79.85</f>
        <v>-79.849999999999994</v>
      </c>
      <c r="E77" s="2">
        <f>-13.9</f>
        <v>-13.9</v>
      </c>
      <c r="F77" s="2">
        <f>-24.95</f>
        <v>-24.95</v>
      </c>
      <c r="G77" s="2">
        <f t="shared" si="34"/>
        <v>0</v>
      </c>
      <c r="H77" s="2">
        <f t="shared" ref="H77:J77" si="36">0</f>
        <v>0</v>
      </c>
      <c r="I77" s="2">
        <f t="shared" si="36"/>
        <v>0</v>
      </c>
      <c r="J77" s="2">
        <f t="shared" si="36"/>
        <v>0</v>
      </c>
      <c r="K77" s="2">
        <f t="shared" si="35"/>
        <v>0</v>
      </c>
      <c r="L77" s="2">
        <f t="shared" ref="L77:M77" si="37">0</f>
        <v>0</v>
      </c>
      <c r="M77" s="2">
        <f t="shared" si="37"/>
        <v>0</v>
      </c>
      <c r="N77" s="2"/>
      <c r="O77" s="2"/>
      <c r="Q77" s="2">
        <f>SUM(OSRRefD11_66x)+IFERROR(SUM(OSRRefE11_66x),0)</f>
        <v>-118.7</v>
      </c>
    </row>
    <row r="78" spans="1:17" x14ac:dyDescent="0.25">
      <c r="A78" s="5"/>
      <c r="B78" s="6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9" customFormat="1" collapsed="1" x14ac:dyDescent="0.25">
      <c r="A79" s="23"/>
      <c r="B79" s="16" t="s">
        <v>217</v>
      </c>
      <c r="C79" s="22"/>
      <c r="D79" s="3">
        <f>SUM(OSRRefD14x_0)</f>
        <v>141168.40000000002</v>
      </c>
      <c r="E79" s="3">
        <f>SUM(OSRRefD14x_1)</f>
        <v>1079380.2900000003</v>
      </c>
      <c r="F79" s="3">
        <f>SUM(OSRRefD14x_2)</f>
        <v>231194.25000000003</v>
      </c>
      <c r="G79" s="3">
        <f>SUM(OSRRefD14x_3)</f>
        <v>97529.329999999944</v>
      </c>
      <c r="H79" s="3">
        <f>SUM(OSRRefD14x_4)</f>
        <v>61344.100000000035</v>
      </c>
      <c r="I79" s="3">
        <f>SUM(OSRRefD14x_5)</f>
        <v>133139.77000000002</v>
      </c>
      <c r="J79" s="3">
        <f>SUM(OSRRefD14x_6)</f>
        <v>771335.59000000008</v>
      </c>
      <c r="K79" s="3">
        <f>SUM(OSRRefD14x_7)</f>
        <v>135459.13999999998</v>
      </c>
      <c r="L79" s="3">
        <f>SUM(OSRRefD14x_8)</f>
        <v>98644.250000000044</v>
      </c>
      <c r="M79" s="3">
        <f>SUM(OSRRefD14x_9)</f>
        <v>223382.47</v>
      </c>
      <c r="N79" s="3">
        <f>SUM(OSRRefE14x_0)</f>
        <v>129854</v>
      </c>
      <c r="O79" s="3">
        <f>SUM(OSRRefE14x_1)</f>
        <v>89561</v>
      </c>
      <c r="Q79" s="3">
        <f>SUM(OSRRefG14x)</f>
        <v>3191992.5900000003</v>
      </c>
    </row>
    <row r="80" spans="1:17" s="9" customFormat="1" hidden="1" outlineLevel="1" x14ac:dyDescent="0.25">
      <c r="A80" s="23"/>
      <c r="B80" s="10" t="str">
        <f>CONCATENATE("          ","5000", " - ","PURCHASES @ COST")</f>
        <v xml:space="preserve">          5000 - PURCHASES @ COST</v>
      </c>
      <c r="C80" s="22"/>
      <c r="D80" s="2"/>
      <c r="E80" s="2"/>
      <c r="F80" s="2">
        <v>0</v>
      </c>
      <c r="G80" s="2">
        <v>0</v>
      </c>
      <c r="H80" s="2"/>
      <c r="I80" s="2"/>
      <c r="J80" s="2">
        <v>0</v>
      </c>
      <c r="K80" s="2"/>
      <c r="L80" s="2">
        <v>0</v>
      </c>
      <c r="M80" s="2"/>
      <c r="N80" s="2">
        <v>129854</v>
      </c>
      <c r="O80" s="2">
        <v>89561</v>
      </c>
      <c r="Q80" s="2">
        <f>SUM(OSRRefD14_0x)+IFERROR(SUM(OSRRefE14_0x),0)</f>
        <v>219415</v>
      </c>
    </row>
    <row r="81" spans="1:17" s="9" customFormat="1" hidden="1" outlineLevel="1" x14ac:dyDescent="0.25">
      <c r="A81" s="23"/>
      <c r="B81" s="10" t="str">
        <f>CONCATENATE("          ","5001", " - ","PURCHASES @ COST-NEW TEXT")</f>
        <v xml:space="preserve">          5001 - PURCHASES @ COST-NEW TEXT</v>
      </c>
      <c r="C81" s="22"/>
      <c r="D81" s="2">
        <v>153110.63</v>
      </c>
      <c r="E81" s="2">
        <v>538222.14</v>
      </c>
      <c r="F81" s="2">
        <v>602088.99</v>
      </c>
      <c r="G81" s="2">
        <v>55775.07</v>
      </c>
      <c r="H81" s="2">
        <v>-108601.35</v>
      </c>
      <c r="I81" s="2">
        <v>37317.56</v>
      </c>
      <c r="J81" s="2">
        <v>381096.17</v>
      </c>
      <c r="K81" s="2">
        <v>-332593.57</v>
      </c>
      <c r="L81" s="2">
        <v>-290899.24</v>
      </c>
      <c r="M81" s="2">
        <v>-28969.93</v>
      </c>
      <c r="N81" s="2"/>
      <c r="O81" s="2"/>
      <c r="Q81" s="2">
        <f>SUM(OSRRefD14_1x)+IFERROR(SUM(OSRRefE14_1x),0)</f>
        <v>1006546.4699999999</v>
      </c>
    </row>
    <row r="82" spans="1:17" s="9" customFormat="1" hidden="1" outlineLevel="1" x14ac:dyDescent="0.25">
      <c r="A82" s="23"/>
      <c r="B82" s="10" t="str">
        <f>CONCATENATE("          ","5002", " - ","PURCHASES @ COST-USED TEXT")</f>
        <v xml:space="preserve">          5002 - PURCHASES @ COST-USED TEXT</v>
      </c>
      <c r="C82" s="22"/>
      <c r="D82" s="2">
        <v>60324.85</v>
      </c>
      <c r="E82" s="2">
        <v>128042.67</v>
      </c>
      <c r="F82" s="2">
        <v>108363.86</v>
      </c>
      <c r="G82" s="2">
        <v>6331.95</v>
      </c>
      <c r="H82" s="2">
        <v>-208829.28</v>
      </c>
      <c r="I82" s="2">
        <v>70238.87</v>
      </c>
      <c r="J82" s="2">
        <v>95863.360000000001</v>
      </c>
      <c r="K82" s="2">
        <v>121987.94</v>
      </c>
      <c r="L82" s="2">
        <v>14728.45</v>
      </c>
      <c r="M82" s="2">
        <v>-122091.65</v>
      </c>
      <c r="N82" s="2"/>
      <c r="O82" s="2"/>
      <c r="Q82" s="2">
        <f>SUM(OSRRefD14_2x)+IFERROR(SUM(OSRRefE14_2x),0)</f>
        <v>274961.02</v>
      </c>
    </row>
    <row r="83" spans="1:17" s="9" customFormat="1" hidden="1" outlineLevel="1" x14ac:dyDescent="0.25">
      <c r="A83" s="23"/>
      <c r="B83" s="10" t="str">
        <f>CONCATENATE("          ","5003", " - ","PURCHASES @ COST-RENTAL TEXT")</f>
        <v xml:space="preserve">          5003 - PURCHASES @ COST-RENTAL TEXT</v>
      </c>
      <c r="C83" s="22"/>
      <c r="D83" s="2">
        <v>-11926.64</v>
      </c>
      <c r="E83" s="2">
        <v>58.8</v>
      </c>
      <c r="F83" s="2">
        <v>781.74</v>
      </c>
      <c r="G83" s="2">
        <v>10600.69</v>
      </c>
      <c r="H83" s="2">
        <v>517.92999999999995</v>
      </c>
      <c r="I83" s="2"/>
      <c r="J83" s="2"/>
      <c r="K83" s="2"/>
      <c r="L83" s="2"/>
      <c r="M83" s="2"/>
      <c r="N83" s="2"/>
      <c r="O83" s="2"/>
      <c r="Q83" s="2">
        <f>SUM(OSRRefD14_3x)+IFERROR(SUM(OSRRefE14_3x),0)</f>
        <v>32.520000000000095</v>
      </c>
    </row>
    <row r="84" spans="1:17" s="9" customFormat="1" hidden="1" outlineLevel="1" x14ac:dyDescent="0.25">
      <c r="A84" s="23"/>
      <c r="B84" s="10" t="str">
        <f>CONCATENATE("          ","5004", " - ","PURCHASES @ COST-DIGITAL TEXT")</f>
        <v xml:space="preserve">          5004 - PURCHASES @ COST-DIGITAL TEXT</v>
      </c>
      <c r="C84" s="22"/>
      <c r="D84" s="2">
        <v>4925.4799999999996</v>
      </c>
      <c r="E84" s="2">
        <v>117504.49</v>
      </c>
      <c r="F84" s="2">
        <v>60186.1</v>
      </c>
      <c r="G84" s="2">
        <v>12903.46</v>
      </c>
      <c r="H84" s="2">
        <v>1418.58</v>
      </c>
      <c r="I84" s="2">
        <v>900</v>
      </c>
      <c r="J84" s="2">
        <v>18888.45</v>
      </c>
      <c r="K84" s="2">
        <v>3282.02</v>
      </c>
      <c r="L84" s="2">
        <v>-13446.08</v>
      </c>
      <c r="M84" s="2">
        <v>887.88</v>
      </c>
      <c r="N84" s="2"/>
      <c r="O84" s="2"/>
      <c r="Q84" s="2">
        <f>SUM(OSRRefD14_4x)+IFERROR(SUM(OSRRefE14_4x),0)</f>
        <v>207450.38</v>
      </c>
    </row>
    <row r="85" spans="1:17" s="9" customFormat="1" hidden="1" outlineLevel="1" x14ac:dyDescent="0.25">
      <c r="A85" s="23"/>
      <c r="B85" s="10" t="str">
        <f>CONCATENATE("          ","5011", " - ","PURCHASES @ COST-NO VALUE TEXT")</f>
        <v xml:space="preserve">          5011 - PURCHASES @ COST-NO VALUE TEXT</v>
      </c>
      <c r="C85" s="22"/>
      <c r="D85" s="2"/>
      <c r="E85" s="2"/>
      <c r="F85" s="2"/>
      <c r="G85" s="2">
        <v>67.17</v>
      </c>
      <c r="H85" s="2"/>
      <c r="I85" s="2"/>
      <c r="J85" s="2"/>
      <c r="K85" s="2"/>
      <c r="L85" s="2"/>
      <c r="M85" s="2"/>
      <c r="N85" s="2"/>
      <c r="O85" s="2"/>
      <c r="Q85" s="2">
        <f>SUM(OSRRefD14_5x)+IFERROR(SUM(OSRRefE14_5x),0)</f>
        <v>67.17</v>
      </c>
    </row>
    <row r="86" spans="1:17" s="9" customFormat="1" hidden="1" outlineLevel="1" x14ac:dyDescent="0.25">
      <c r="A86" s="23"/>
      <c r="B86" s="10" t="str">
        <f>CONCATENATE("          ","5013", " - ","PURCHASES @ COST-TRADE BOOKS")</f>
        <v xml:space="preserve">          5013 - PURCHASES @ COST-TRADE BOOKS</v>
      </c>
      <c r="C86" s="22"/>
      <c r="D86" s="2">
        <v>108.54</v>
      </c>
      <c r="E86" s="2"/>
      <c r="F86" s="2">
        <v>-9.36</v>
      </c>
      <c r="G86" s="2">
        <v>1384.46</v>
      </c>
      <c r="H86" s="2">
        <v>611.1</v>
      </c>
      <c r="I86" s="2">
        <v>31.11</v>
      </c>
      <c r="J86" s="2">
        <v>3531.13</v>
      </c>
      <c r="K86" s="2">
        <v>305.11</v>
      </c>
      <c r="L86" s="2">
        <v>2907.93</v>
      </c>
      <c r="M86" s="2">
        <v>800</v>
      </c>
      <c r="N86" s="2"/>
      <c r="O86" s="2"/>
      <c r="Q86" s="2">
        <f>SUM(OSRRefD14_6x)+IFERROR(SUM(OSRRefE14_6x),0)</f>
        <v>9670.02</v>
      </c>
    </row>
    <row r="87" spans="1:17" s="9" customFormat="1" hidden="1" outlineLevel="1" x14ac:dyDescent="0.25">
      <c r="A87" s="23"/>
      <c r="B87" s="10" t="str">
        <f>CONCATENATE("          ","5014", " - ","PURCHASES @ COST-REMAINDERS")</f>
        <v xml:space="preserve">          5014 - PURCHASES @ COST-REMAINDERS</v>
      </c>
      <c r="C87" s="22"/>
      <c r="D87" s="2">
        <v>-12.51</v>
      </c>
      <c r="E87" s="2"/>
      <c r="F87" s="2"/>
      <c r="G87" s="2">
        <v>102.92</v>
      </c>
      <c r="H87" s="2"/>
      <c r="I87" s="2"/>
      <c r="J87" s="2"/>
      <c r="K87" s="2">
        <v>21.16</v>
      </c>
      <c r="L87" s="2"/>
      <c r="M87" s="2"/>
      <c r="N87" s="2"/>
      <c r="O87" s="2"/>
      <c r="Q87" s="2">
        <f>SUM(OSRRefD14_7x)+IFERROR(SUM(OSRRefE14_7x),0)</f>
        <v>111.57</v>
      </c>
    </row>
    <row r="88" spans="1:17" s="9" customFormat="1" hidden="1" outlineLevel="1" x14ac:dyDescent="0.25">
      <c r="A88" s="23"/>
      <c r="B88" s="10" t="str">
        <f>CONCATENATE("          ","5018", " - ","PURCHASES @ COST-STUDY GUIDES")</f>
        <v xml:space="preserve">          5018 - PURCHASES @ COST-STUDY GUIDES</v>
      </c>
      <c r="C88" s="22"/>
      <c r="D88" s="2"/>
      <c r="E88" s="2"/>
      <c r="F88" s="2"/>
      <c r="G88" s="2"/>
      <c r="H88" s="2">
        <v>106.34</v>
      </c>
      <c r="I88" s="2"/>
      <c r="J88" s="2">
        <v>416</v>
      </c>
      <c r="K88" s="2"/>
      <c r="L88" s="2">
        <v>444.87</v>
      </c>
      <c r="M88" s="2"/>
      <c r="N88" s="2"/>
      <c r="O88" s="2"/>
      <c r="Q88" s="2">
        <f>SUM(OSRRefD14_8x)+IFERROR(SUM(OSRRefE14_8x),0)</f>
        <v>967.21</v>
      </c>
    </row>
    <row r="89" spans="1:17" s="9" customFormat="1" hidden="1" outlineLevel="1" x14ac:dyDescent="0.25">
      <c r="A89" s="23"/>
      <c r="B89" s="10" t="str">
        <f>CONCATENATE("          ","5025", " - ","PURCHASES @ COST-TEST FORMS")</f>
        <v xml:space="preserve">          5025 - PURCHASES @ COST-TEST FORMS</v>
      </c>
      <c r="C89" s="22"/>
      <c r="D89" s="2"/>
      <c r="E89" s="2"/>
      <c r="F89" s="2"/>
      <c r="G89" s="2">
        <v>599.29</v>
      </c>
      <c r="H89" s="2"/>
      <c r="I89" s="2"/>
      <c r="J89" s="2"/>
      <c r="K89" s="2"/>
      <c r="L89" s="2"/>
      <c r="M89" s="2"/>
      <c r="N89" s="2"/>
      <c r="O89" s="2"/>
      <c r="Q89" s="2">
        <f>SUM(OSRRefD14_9x)+IFERROR(SUM(OSRRefE14_9x),0)</f>
        <v>599.29</v>
      </c>
    </row>
    <row r="90" spans="1:17" s="9" customFormat="1" hidden="1" outlineLevel="1" x14ac:dyDescent="0.25">
      <c r="A90" s="23"/>
      <c r="B90" s="10" t="str">
        <f>CONCATENATE("          ","5026", " - ","PURCHASES @ COST-WRITING INSTR")</f>
        <v xml:space="preserve">          5026 - PURCHASES @ COST-WRITING INSTR</v>
      </c>
      <c r="C90" s="22"/>
      <c r="D90" s="2"/>
      <c r="E90" s="2"/>
      <c r="F90" s="2"/>
      <c r="G90" s="2">
        <v>380.02</v>
      </c>
      <c r="H90" s="2"/>
      <c r="I90" s="2">
        <v>-5.1100000000000003</v>
      </c>
      <c r="J90" s="2"/>
      <c r="K90" s="2"/>
      <c r="L90" s="2">
        <v>209.64</v>
      </c>
      <c r="M90" s="2"/>
      <c r="N90" s="2"/>
      <c r="O90" s="2"/>
      <c r="Q90" s="2">
        <f>SUM(OSRRefD14_10x)+IFERROR(SUM(OSRRefE14_10x),0)</f>
        <v>584.54999999999995</v>
      </c>
    </row>
    <row r="91" spans="1:17" s="9" customFormat="1" hidden="1" outlineLevel="1" x14ac:dyDescent="0.25">
      <c r="A91" s="23"/>
      <c r="B91" s="10" t="str">
        <f>CONCATENATE("          ","5027", " - ","PURCHASES @ COST-SCHOOL SUPPLI")</f>
        <v xml:space="preserve">          5027 - PURCHASES @ COST-SCHOOL SUPPLI</v>
      </c>
      <c r="C91" s="22"/>
      <c r="D91" s="2">
        <v>8503.4</v>
      </c>
      <c r="E91" s="2"/>
      <c r="F91" s="2"/>
      <c r="G91" s="2">
        <v>10567.95</v>
      </c>
      <c r="H91" s="2"/>
      <c r="I91" s="2"/>
      <c r="J91" s="2"/>
      <c r="K91" s="2"/>
      <c r="L91" s="2">
        <v>2824.53</v>
      </c>
      <c r="M91" s="2">
        <v>1838.72</v>
      </c>
      <c r="N91" s="2"/>
      <c r="O91" s="2"/>
      <c r="Q91" s="2">
        <f>SUM(OSRRefD14_11x)+IFERROR(SUM(OSRRefE14_11x),0)</f>
        <v>23734.6</v>
      </c>
    </row>
    <row r="92" spans="1:17" s="9" customFormat="1" hidden="1" outlineLevel="1" x14ac:dyDescent="0.25">
      <c r="A92" s="23"/>
      <c r="B92" s="10" t="str">
        <f>CONCATENATE("          ","5028", " - ","PURCHASES @ COST-ART/TECH")</f>
        <v xml:space="preserve">          5028 - PURCHASES @ COST-ART/TECH</v>
      </c>
      <c r="C92" s="22"/>
      <c r="D92" s="2"/>
      <c r="E92" s="2"/>
      <c r="F92" s="2">
        <v>-83.4</v>
      </c>
      <c r="G92" s="2">
        <v>41425.96</v>
      </c>
      <c r="H92" s="2">
        <v>15.89</v>
      </c>
      <c r="I92" s="2"/>
      <c r="J92" s="2"/>
      <c r="K92" s="2">
        <v>833.13</v>
      </c>
      <c r="L92" s="2">
        <v>3443.78</v>
      </c>
      <c r="M92" s="2">
        <v>1371.26</v>
      </c>
      <c r="N92" s="2"/>
      <c r="O92" s="2"/>
      <c r="Q92" s="2">
        <f>SUM(OSRRefD14_12x)+IFERROR(SUM(OSRRefE14_12x),0)</f>
        <v>47006.619999999995</v>
      </c>
    </row>
    <row r="93" spans="1:17" s="9" customFormat="1" hidden="1" outlineLevel="1" x14ac:dyDescent="0.25">
      <c r="A93" s="23"/>
      <c r="B93" s="10" t="str">
        <f>CONCATENATE("          ","5031", " - ","PURCHASES @ COST-FOOD")</f>
        <v xml:space="preserve">          5031 - PURCHASES @ COST-FOOD</v>
      </c>
      <c r="C93" s="22"/>
      <c r="D93" s="2"/>
      <c r="E93" s="2">
        <v>0</v>
      </c>
      <c r="F93" s="2">
        <v>4065.92</v>
      </c>
      <c r="G93" s="2">
        <v>4469.18</v>
      </c>
      <c r="H93" s="2"/>
      <c r="I93" s="2">
        <v>-1260</v>
      </c>
      <c r="J93" s="2">
        <v>239.16</v>
      </c>
      <c r="K93" s="2">
        <v>271.45999999999998</v>
      </c>
      <c r="L93" s="2"/>
      <c r="M93" s="2"/>
      <c r="N93" s="2"/>
      <c r="O93" s="2"/>
      <c r="Q93" s="2">
        <f>SUM(OSRRefD14_13x)+IFERROR(SUM(OSRRefE14_13x),0)</f>
        <v>7785.72</v>
      </c>
    </row>
    <row r="94" spans="1:17" s="9" customFormat="1" hidden="1" outlineLevel="1" x14ac:dyDescent="0.25">
      <c r="A94" s="23"/>
      <c r="B94" s="10" t="str">
        <f>CONCATENATE("          ","5040", " - ","PURCHASES @ COST-LOGO CLOTHING")</f>
        <v xml:space="preserve">          5040 - PURCHASES @ COST-LOGO CLOTHING</v>
      </c>
      <c r="C94" s="22"/>
      <c r="D94" s="2">
        <v>1723.07</v>
      </c>
      <c r="E94" s="2">
        <v>7628.83</v>
      </c>
      <c r="F94" s="2">
        <v>4398.1499999999996</v>
      </c>
      <c r="G94" s="2">
        <v>25420.9</v>
      </c>
      <c r="H94" s="2">
        <v>55124.33</v>
      </c>
      <c r="I94" s="2">
        <v>38175.120000000003</v>
      </c>
      <c r="J94" s="2">
        <v>34900.79</v>
      </c>
      <c r="K94" s="2">
        <v>26599.9</v>
      </c>
      <c r="L94" s="2">
        <v>45900.51</v>
      </c>
      <c r="M94" s="2">
        <v>39218.65</v>
      </c>
      <c r="N94" s="2"/>
      <c r="O94" s="2"/>
      <c r="Q94" s="2">
        <f>SUM(OSRRefD14_14x)+IFERROR(SUM(OSRRefE14_14x),0)</f>
        <v>279090.25</v>
      </c>
    </row>
    <row r="95" spans="1:17" s="9" customFormat="1" hidden="1" outlineLevel="1" x14ac:dyDescent="0.25">
      <c r="A95" s="23"/>
      <c r="B95" s="10" t="str">
        <f>CONCATENATE("          ","5041", " - ","PURCHASES @ COST-LOGO GIFTS")</f>
        <v xml:space="preserve">          5041 - PURCHASES @ COST-LOGO GIFTS</v>
      </c>
      <c r="C95" s="22"/>
      <c r="D95" s="2">
        <v>-713.75</v>
      </c>
      <c r="E95" s="2">
        <v>1843.29</v>
      </c>
      <c r="F95" s="2">
        <v>868</v>
      </c>
      <c r="G95" s="2">
        <v>15289.8</v>
      </c>
      <c r="H95" s="2">
        <v>9354.43</v>
      </c>
      <c r="I95" s="2">
        <v>5559.99</v>
      </c>
      <c r="J95" s="2">
        <v>8769.24</v>
      </c>
      <c r="K95" s="2">
        <v>26592.81</v>
      </c>
      <c r="L95" s="2">
        <v>899.63</v>
      </c>
      <c r="M95" s="2">
        <v>15798.51</v>
      </c>
      <c r="N95" s="2"/>
      <c r="O95" s="2"/>
      <c r="Q95" s="2">
        <f>SUM(OSRRefD14_15x)+IFERROR(SUM(OSRRefE14_15x),0)</f>
        <v>84261.95</v>
      </c>
    </row>
    <row r="96" spans="1:17" s="9" customFormat="1" hidden="1" outlineLevel="1" x14ac:dyDescent="0.25">
      <c r="A96" s="23"/>
      <c r="B96" s="10" t="str">
        <f>CONCATENATE("          ","5042", " - ","PURCHASES @ COST-EVERYDAY GIFT")</f>
        <v xml:space="preserve">          5042 - PURCHASES @ COST-EVERYDAY GIFT</v>
      </c>
      <c r="C96" s="22"/>
      <c r="D96" s="2">
        <v>236.16</v>
      </c>
      <c r="E96" s="2">
        <v>732.99</v>
      </c>
      <c r="F96" s="2">
        <v>522</v>
      </c>
      <c r="G96" s="2">
        <v>9421.5300000000007</v>
      </c>
      <c r="H96" s="2"/>
      <c r="I96" s="2">
        <v>148.6</v>
      </c>
      <c r="J96" s="2">
        <v>6760.7</v>
      </c>
      <c r="K96" s="2">
        <v>1196.2</v>
      </c>
      <c r="L96" s="2">
        <v>-270</v>
      </c>
      <c r="M96" s="2"/>
      <c r="N96" s="2"/>
      <c r="O96" s="2"/>
      <c r="Q96" s="2">
        <f>SUM(OSRRefD14_16x)+IFERROR(SUM(OSRRefE14_16x),0)</f>
        <v>18748.18</v>
      </c>
    </row>
    <row r="97" spans="1:17" s="9" customFormat="1" hidden="1" outlineLevel="1" x14ac:dyDescent="0.25">
      <c r="A97" s="23"/>
      <c r="B97" s="10" t="str">
        <f>CONCATENATE("          ","5043", " - ","PURCHASES @ COST-CARDS")</f>
        <v xml:space="preserve">          5043 - PURCHASES @ COST-CARDS</v>
      </c>
      <c r="C97" s="22"/>
      <c r="D97" s="2">
        <v>308.7</v>
      </c>
      <c r="E97" s="2">
        <v>1406.55</v>
      </c>
      <c r="F97" s="2">
        <v>1401</v>
      </c>
      <c r="G97" s="2">
        <v>2526.75</v>
      </c>
      <c r="H97" s="2">
        <v>38530.230000000003</v>
      </c>
      <c r="I97" s="2">
        <v>2448</v>
      </c>
      <c r="J97" s="2">
        <v>8743.1</v>
      </c>
      <c r="K97" s="2"/>
      <c r="L97" s="2"/>
      <c r="M97" s="2">
        <v>41</v>
      </c>
      <c r="N97" s="2"/>
      <c r="O97" s="2"/>
      <c r="Q97" s="2">
        <f>SUM(OSRRefD14_17x)+IFERROR(SUM(OSRRefE14_17x),0)</f>
        <v>55405.33</v>
      </c>
    </row>
    <row r="98" spans="1:17" s="9" customFormat="1" hidden="1" outlineLevel="1" x14ac:dyDescent="0.25">
      <c r="A98" s="23"/>
      <c r="B98" s="10" t="str">
        <f>CONCATENATE("          ","5044", " - ","PURCHASES @ COST-ACCESSORIES")</f>
        <v xml:space="preserve">          5044 - PURCHASES @ COST-ACCESSORIES</v>
      </c>
      <c r="C98" s="22"/>
      <c r="D98" s="2"/>
      <c r="E98" s="2"/>
      <c r="F98" s="2"/>
      <c r="G98" s="2"/>
      <c r="H98" s="2">
        <v>282.33</v>
      </c>
      <c r="I98" s="2"/>
      <c r="J98" s="2">
        <v>782.5</v>
      </c>
      <c r="K98" s="2"/>
      <c r="L98" s="2"/>
      <c r="M98" s="2">
        <v>1490.88</v>
      </c>
      <c r="N98" s="2"/>
      <c r="O98" s="2"/>
      <c r="Q98" s="2">
        <f>SUM(OSRRefD14_18x)+IFERROR(SUM(OSRRefE14_18x),0)</f>
        <v>2555.71</v>
      </c>
    </row>
    <row r="99" spans="1:17" s="9" customFormat="1" hidden="1" outlineLevel="1" x14ac:dyDescent="0.25">
      <c r="A99" s="23"/>
      <c r="B99" s="10" t="str">
        <f>CONCATENATE("          ","5045", " - ","PURCHASES @ COST-SPECIAL ORDER")</f>
        <v xml:space="preserve">          5045 - PURCHASES @ COST-SPECIAL ORDER</v>
      </c>
      <c r="C99" s="22"/>
      <c r="D99" s="2">
        <v>2756.21</v>
      </c>
      <c r="E99" s="2">
        <v>5633.96</v>
      </c>
      <c r="F99" s="2">
        <v>52784.12</v>
      </c>
      <c r="G99" s="2">
        <v>10080.23</v>
      </c>
      <c r="H99" s="2">
        <v>5678</v>
      </c>
      <c r="I99" s="2">
        <v>10676.48</v>
      </c>
      <c r="J99" s="2">
        <v>5855.38</v>
      </c>
      <c r="K99" s="2">
        <v>1909.13</v>
      </c>
      <c r="L99" s="2">
        <v>13853.18</v>
      </c>
      <c r="M99" s="2">
        <v>5771.38</v>
      </c>
      <c r="N99" s="2"/>
      <c r="O99" s="2"/>
      <c r="Q99" s="2">
        <f>SUM(OSRRefD14_19x)+IFERROR(SUM(OSRRefE14_19x),0)</f>
        <v>114998.07</v>
      </c>
    </row>
    <row r="100" spans="1:17" s="9" customFormat="1" hidden="1" outlineLevel="1" x14ac:dyDescent="0.25">
      <c r="A100" s="23"/>
      <c r="B100" s="10" t="str">
        <f>CONCATENATE("          ","5053", " - ","PURCHASES @ COST-FOOD")</f>
        <v xml:space="preserve">          5053 - PURCHASES @ COST-FOOD</v>
      </c>
      <c r="C100" s="22"/>
      <c r="D100" s="2">
        <v>-226.87</v>
      </c>
      <c r="E100" s="2">
        <v>-2111.6799999999998</v>
      </c>
      <c r="F100" s="2">
        <v>53.15</v>
      </c>
      <c r="G100" s="2">
        <v>-570.16999999999996</v>
      </c>
      <c r="H100" s="2"/>
      <c r="I100" s="2">
        <v>290.37</v>
      </c>
      <c r="J100" s="2">
        <v>-257.75</v>
      </c>
      <c r="K100" s="2"/>
      <c r="L100" s="2">
        <v>176.4</v>
      </c>
      <c r="M100" s="2">
        <v>176.4</v>
      </c>
      <c r="N100" s="2"/>
      <c r="O100" s="2"/>
      <c r="Q100" s="2">
        <f>SUM(OSRRefD14_20x)+IFERROR(SUM(OSRRefE14_20x),0)</f>
        <v>-2470.1499999999996</v>
      </c>
    </row>
    <row r="101" spans="1:17" s="9" customFormat="1" hidden="1" outlineLevel="1" x14ac:dyDescent="0.25">
      <c r="A101" s="23"/>
      <c r="B101" s="10" t="str">
        <f>CONCATENATE("          ","5059", " - ","PURCHASES @ COST-FOOD")</f>
        <v xml:space="preserve">          5059 - PURCHASES @ COST-FOOD</v>
      </c>
      <c r="C101" s="22"/>
      <c r="D101" s="2"/>
      <c r="E101" s="2">
        <v>68.91</v>
      </c>
      <c r="F101" s="2"/>
      <c r="G101" s="2">
        <v>11629</v>
      </c>
      <c r="H101" s="2"/>
      <c r="I101" s="2"/>
      <c r="J101" s="2"/>
      <c r="K101" s="2">
        <v>19149</v>
      </c>
      <c r="L101" s="2">
        <v>19</v>
      </c>
      <c r="M101" s="2">
        <v>24.08</v>
      </c>
      <c r="N101" s="2"/>
      <c r="O101" s="2"/>
      <c r="Q101" s="2">
        <f>SUM(OSRRefD14_21x)+IFERROR(SUM(OSRRefE14_21x),0)</f>
        <v>30889.99</v>
      </c>
    </row>
    <row r="102" spans="1:17" s="9" customFormat="1" hidden="1" outlineLevel="1" x14ac:dyDescent="0.25">
      <c r="A102" s="23"/>
      <c r="B102" s="10" t="str">
        <f>CONCATENATE("          ","5086", " - ","PURCHASES @ COST-COMPUTER SUPP")</f>
        <v xml:space="preserve">          5086 - PURCHASES @ COST-COMPUTER SUPP</v>
      </c>
      <c r="C102" s="22"/>
      <c r="D102" s="2"/>
      <c r="E102" s="2"/>
      <c r="F102" s="2"/>
      <c r="G102" s="2"/>
      <c r="H102" s="2"/>
      <c r="I102" s="2"/>
      <c r="J102" s="2"/>
      <c r="K102" s="2">
        <v>13.21</v>
      </c>
      <c r="L102" s="2"/>
      <c r="M102" s="2"/>
      <c r="N102" s="2"/>
      <c r="O102" s="2"/>
      <c r="Q102" s="2">
        <f>SUM(OSRRefD14_22x)+IFERROR(SUM(OSRRefE14_22x),0)</f>
        <v>13.21</v>
      </c>
    </row>
    <row r="103" spans="1:17" s="9" customFormat="1" hidden="1" outlineLevel="1" x14ac:dyDescent="0.25">
      <c r="A103" s="23"/>
      <c r="B103" s="10" t="str">
        <f>CONCATENATE("          ","5092", " - ","PURCHASES @ COST-GRAD MERCH")</f>
        <v xml:space="preserve">          5092 - PURCHASES @ COST-GRAD MERCH</v>
      </c>
      <c r="C103" s="22"/>
      <c r="D103" s="2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Q103" s="2">
        <f>SUM(OSRRefD14_23x)+IFERROR(SUM(OSRRefE14_23x),0)</f>
        <v>0</v>
      </c>
    </row>
    <row r="104" spans="1:17" s="9" customFormat="1" hidden="1" outlineLevel="1" x14ac:dyDescent="0.25">
      <c r="A104" s="23"/>
      <c r="B104" s="10" t="str">
        <f>CONCATENATE("          ","5200", " - ","PURCHASES OFFSET")</f>
        <v xml:space="preserve">          5200 - PURCHASES OFFSET</v>
      </c>
      <c r="C104" s="22"/>
      <c r="D104" s="2">
        <v>-215765.28</v>
      </c>
      <c r="E104" s="2">
        <v>-497237.3</v>
      </c>
      <c r="F104" s="2">
        <v>-821971.1</v>
      </c>
      <c r="G104" s="2">
        <v>-234183.51</v>
      </c>
      <c r="H104" s="2">
        <v>196761.91</v>
      </c>
      <c r="I104" s="2">
        <v>-172627.15</v>
      </c>
      <c r="J104" s="2">
        <v>-390760.97</v>
      </c>
      <c r="K104" s="2">
        <v>154765.96</v>
      </c>
      <c r="L104" s="2">
        <v>217068.52</v>
      </c>
      <c r="M104" s="2">
        <v>78563.789999999994</v>
      </c>
      <c r="N104" s="2"/>
      <c r="O104" s="2"/>
      <c r="Q104" s="2">
        <f>SUM(OSRRefD14_24x)+IFERROR(SUM(OSRRefE14_24x),0)</f>
        <v>-1685385.13</v>
      </c>
    </row>
    <row r="105" spans="1:17" s="9" customFormat="1" hidden="1" outlineLevel="1" x14ac:dyDescent="0.25">
      <c r="A105" s="23"/>
      <c r="B105" s="10" t="str">
        <f>CONCATENATE("          ","5300", " - ","COG$ OFFSET")</f>
        <v xml:space="preserve">          5300 - COG$ OFFSET</v>
      </c>
      <c r="C105" s="22"/>
      <c r="D105" s="2">
        <v>135628</v>
      </c>
      <c r="E105" s="2">
        <v>770429</v>
      </c>
      <c r="F105" s="2">
        <v>204421</v>
      </c>
      <c r="G105" s="2">
        <v>85211</v>
      </c>
      <c r="H105" s="2">
        <v>60951</v>
      </c>
      <c r="I105" s="2">
        <v>134493</v>
      </c>
      <c r="J105" s="2">
        <v>584457</v>
      </c>
      <c r="K105" s="2">
        <v>104323</v>
      </c>
      <c r="L105" s="2">
        <v>97595</v>
      </c>
      <c r="M105" s="2">
        <v>222888</v>
      </c>
      <c r="N105" s="2"/>
      <c r="O105" s="2"/>
      <c r="Q105" s="2">
        <f>SUM(OSRRefD14_25x)+IFERROR(SUM(OSRRefE14_25x),0)</f>
        <v>2400396</v>
      </c>
    </row>
    <row r="106" spans="1:17" s="9" customFormat="1" hidden="1" outlineLevel="1" x14ac:dyDescent="0.25">
      <c r="A106" s="23"/>
      <c r="B106" s="10" t="str">
        <f>CONCATENATE("          ","5500", " - ","FREIGHT-IN")</f>
        <v xml:space="preserve">          5500 - FREIGHT-IN</v>
      </c>
      <c r="C106" s="22"/>
      <c r="D106" s="2">
        <v>0</v>
      </c>
      <c r="E106" s="2">
        <v>0</v>
      </c>
      <c r="F106" s="2">
        <v>0</v>
      </c>
      <c r="G106" s="2"/>
      <c r="H106" s="2"/>
      <c r="I106" s="2">
        <v>0</v>
      </c>
      <c r="J106" s="2">
        <v>0</v>
      </c>
      <c r="K106" s="2">
        <v>0</v>
      </c>
      <c r="L106" s="2"/>
      <c r="M106" s="2"/>
      <c r="N106" s="2"/>
      <c r="O106" s="2"/>
      <c r="Q106" s="2">
        <f>SUM(OSRRefD14_26x)+IFERROR(SUM(OSRRefE14_26x),0)</f>
        <v>0</v>
      </c>
    </row>
    <row r="107" spans="1:17" s="9" customFormat="1" hidden="1" outlineLevel="1" x14ac:dyDescent="0.25">
      <c r="A107" s="23"/>
      <c r="B107" s="10" t="str">
        <f>CONCATENATE("          ","5501", " - ","FREIGHT-IN-NEW TEXT")</f>
        <v xml:space="preserve">          5501 - FREIGHT-IN-NEW TEXT</v>
      </c>
      <c r="C107" s="22"/>
      <c r="D107" s="2">
        <v>802.72</v>
      </c>
      <c r="E107" s="2">
        <v>4680.5600000000004</v>
      </c>
      <c r="F107" s="2">
        <v>5279.6</v>
      </c>
      <c r="G107" s="2">
        <v>23295.74</v>
      </c>
      <c r="H107" s="2">
        <v>990.19</v>
      </c>
      <c r="I107" s="2">
        <v>2414.77</v>
      </c>
      <c r="J107" s="2">
        <v>7155.21</v>
      </c>
      <c r="K107" s="2">
        <v>4638.13</v>
      </c>
      <c r="L107" s="2">
        <v>785.54</v>
      </c>
      <c r="M107" s="2">
        <v>271.27</v>
      </c>
      <c r="N107" s="2"/>
      <c r="O107" s="2"/>
      <c r="Q107" s="2">
        <f>SUM(OSRRefD14_27x)+IFERROR(SUM(OSRRefE14_27x),0)</f>
        <v>50313.729999999996</v>
      </c>
    </row>
    <row r="108" spans="1:17" s="9" customFormat="1" hidden="1" outlineLevel="1" x14ac:dyDescent="0.25">
      <c r="A108" s="23"/>
      <c r="B108" s="10" t="str">
        <f>CONCATENATE("          ","5502", " - ","FREIGHT-IN-USED TEXT")</f>
        <v xml:space="preserve">          5502 - FREIGHT-IN-USED TEXT</v>
      </c>
      <c r="C108" s="22"/>
      <c r="D108" s="2">
        <v>47.89</v>
      </c>
      <c r="E108" s="2">
        <v>1186.6600000000001</v>
      </c>
      <c r="F108" s="2">
        <v>7276.27</v>
      </c>
      <c r="G108" s="2">
        <v>2233.9</v>
      </c>
      <c r="H108" s="2">
        <v>388.37</v>
      </c>
      <c r="I108" s="2">
        <v>2389.48</v>
      </c>
      <c r="J108" s="2">
        <v>2129.7399999999998</v>
      </c>
      <c r="K108" s="2">
        <v>1484.45</v>
      </c>
      <c r="L108" s="2">
        <v>663.37</v>
      </c>
      <c r="M108" s="2">
        <v>58.77</v>
      </c>
      <c r="N108" s="2"/>
      <c r="O108" s="2"/>
      <c r="Q108" s="2">
        <f>SUM(OSRRefD14_28x)+IFERROR(SUM(OSRRefE14_28x),0)</f>
        <v>17858.899999999998</v>
      </c>
    </row>
    <row r="109" spans="1:17" s="9" customFormat="1" hidden="1" outlineLevel="1" x14ac:dyDescent="0.25">
      <c r="A109" s="23"/>
      <c r="B109" s="10" t="str">
        <f>CONCATENATE("          ","5504", " - ","FREIGHT-IN-DIGITAL TEXT")</f>
        <v xml:space="preserve">          5504 - FREIGHT-IN-DIGITAL TEXT</v>
      </c>
      <c r="C109" s="22"/>
      <c r="D109" s="2"/>
      <c r="E109" s="2"/>
      <c r="F109" s="2">
        <v>10.99</v>
      </c>
      <c r="G109" s="2">
        <v>10.99</v>
      </c>
      <c r="H109" s="2"/>
      <c r="I109" s="2"/>
      <c r="J109" s="2"/>
      <c r="K109" s="2">
        <v>6.94</v>
      </c>
      <c r="L109" s="2"/>
      <c r="M109" s="2"/>
      <c r="N109" s="2"/>
      <c r="O109" s="2"/>
      <c r="Q109" s="2">
        <f>SUM(OSRRefD14_29x)+IFERROR(SUM(OSRRefE14_29x),0)</f>
        <v>28.92</v>
      </c>
    </row>
    <row r="110" spans="1:17" s="9" customFormat="1" hidden="1" outlineLevel="1" x14ac:dyDescent="0.25">
      <c r="A110" s="23"/>
      <c r="B110" s="10" t="str">
        <f>CONCATENATE("          ","5513", " - ","FREIGHT-IN-TRADE BOOKS")</f>
        <v xml:space="preserve">          5513 - FREIGHT-IN-TRADE BOOKS</v>
      </c>
      <c r="C110" s="22"/>
      <c r="D110" s="2"/>
      <c r="E110" s="2"/>
      <c r="F110" s="2"/>
      <c r="G110" s="2"/>
      <c r="H110" s="2">
        <v>26.46</v>
      </c>
      <c r="I110" s="2"/>
      <c r="J110" s="2">
        <v>7.06</v>
      </c>
      <c r="K110" s="2"/>
      <c r="L110" s="2">
        <v>51.76</v>
      </c>
      <c r="M110" s="2"/>
      <c r="N110" s="2"/>
      <c r="O110" s="2"/>
      <c r="Q110" s="2">
        <f>SUM(OSRRefD14_30x)+IFERROR(SUM(OSRRefE14_30x),0)</f>
        <v>85.28</v>
      </c>
    </row>
    <row r="111" spans="1:17" s="9" customFormat="1" hidden="1" outlineLevel="1" x14ac:dyDescent="0.25">
      <c r="A111" s="23"/>
      <c r="B111" s="10" t="str">
        <f>CONCATENATE("          ","5525", " - ","FREIGHT-IN-TEST FORMS")</f>
        <v xml:space="preserve">          5525 - FREIGHT-IN-TEST FORMS</v>
      </c>
      <c r="C111" s="22"/>
      <c r="D111" s="2"/>
      <c r="E111" s="2"/>
      <c r="F111" s="2"/>
      <c r="G111" s="2">
        <v>48.14</v>
      </c>
      <c r="H111" s="2"/>
      <c r="I111" s="2"/>
      <c r="J111" s="2"/>
      <c r="K111" s="2"/>
      <c r="L111" s="2"/>
      <c r="M111" s="2"/>
      <c r="N111" s="2"/>
      <c r="O111" s="2"/>
      <c r="Q111" s="2">
        <f>SUM(OSRRefD14_31x)+IFERROR(SUM(OSRRefE14_31x),0)</f>
        <v>48.14</v>
      </c>
    </row>
    <row r="112" spans="1:17" s="9" customFormat="1" hidden="1" outlineLevel="1" x14ac:dyDescent="0.25">
      <c r="A112" s="23"/>
      <c r="B112" s="10" t="str">
        <f>CONCATENATE("          ","5526", " - ","FREIGHT-IN-WRITING INSTRUMENTS")</f>
        <v xml:space="preserve">          5526 - FREIGHT-IN-WRITING INSTRUMENTS</v>
      </c>
      <c r="C112" s="22"/>
      <c r="D112" s="2"/>
      <c r="E112" s="2"/>
      <c r="F112" s="2"/>
      <c r="G112" s="2"/>
      <c r="H112" s="2"/>
      <c r="I112" s="2">
        <v>0</v>
      </c>
      <c r="J112" s="2"/>
      <c r="K112" s="2"/>
      <c r="L112" s="2"/>
      <c r="M112" s="2"/>
      <c r="N112" s="2"/>
      <c r="O112" s="2"/>
      <c r="Q112" s="2">
        <f>SUM(OSRRefD14_32x)+IFERROR(SUM(OSRRefE14_32x),0)</f>
        <v>0</v>
      </c>
    </row>
    <row r="113" spans="1:17" s="9" customFormat="1" hidden="1" outlineLevel="1" x14ac:dyDescent="0.25">
      <c r="A113" s="23"/>
      <c r="B113" s="10" t="str">
        <f>CONCATENATE("          ","5527", " - ","FREIGHT-IN-SCHOOL SUPPLIES")</f>
        <v xml:space="preserve">          5527 - FREIGHT-IN-SCHOOL SUPPLIES</v>
      </c>
      <c r="C113" s="22"/>
      <c r="D113" s="2"/>
      <c r="E113" s="2"/>
      <c r="F113" s="2"/>
      <c r="G113" s="2">
        <v>56</v>
      </c>
      <c r="H113" s="2"/>
      <c r="I113" s="2">
        <v>121.5</v>
      </c>
      <c r="J113" s="2"/>
      <c r="K113" s="2"/>
      <c r="L113" s="2">
        <v>41.12</v>
      </c>
      <c r="M113" s="2"/>
      <c r="N113" s="2"/>
      <c r="O113" s="2"/>
      <c r="Q113" s="2">
        <f>SUM(OSRRefD14_33x)+IFERROR(SUM(OSRRefE14_33x),0)</f>
        <v>218.62</v>
      </c>
    </row>
    <row r="114" spans="1:17" s="9" customFormat="1" hidden="1" outlineLevel="1" x14ac:dyDescent="0.25">
      <c r="A114" s="23"/>
      <c r="B114" s="10" t="str">
        <f>CONCATENATE("          ","5528", " - ","FREIGHT-IN-ART/TECH")</f>
        <v xml:space="preserve">          5528 - FREIGHT-IN-ART/TECH</v>
      </c>
      <c r="C114" s="22"/>
      <c r="D114" s="2">
        <v>38.049999999999997</v>
      </c>
      <c r="E114" s="2"/>
      <c r="F114" s="2">
        <v>6.76</v>
      </c>
      <c r="G114" s="2">
        <v>239.39</v>
      </c>
      <c r="H114" s="2">
        <v>1.72</v>
      </c>
      <c r="I114" s="2">
        <v>4.29</v>
      </c>
      <c r="J114" s="2">
        <v>48.53</v>
      </c>
      <c r="K114" s="2">
        <v>12.76</v>
      </c>
      <c r="L114" s="2">
        <v>103.71</v>
      </c>
      <c r="M114" s="2">
        <v>89.22</v>
      </c>
      <c r="N114" s="2"/>
      <c r="O114" s="2"/>
      <c r="Q114" s="2">
        <f>SUM(OSRRefD14_34x)+IFERROR(SUM(OSRRefE14_34x),0)</f>
        <v>544.42999999999995</v>
      </c>
    </row>
    <row r="115" spans="1:17" s="9" customFormat="1" hidden="1" outlineLevel="1" x14ac:dyDescent="0.25">
      <c r="A115" s="23"/>
      <c r="B115" s="10" t="str">
        <f>CONCATENATE("          ","5540", " - ","FREIGHT-IN-LOGO CLOTHING")</f>
        <v xml:space="preserve">          5540 - FREIGHT-IN-LOGO CLOTHING</v>
      </c>
      <c r="C115" s="22"/>
      <c r="D115" s="2">
        <v>909.83</v>
      </c>
      <c r="E115" s="2">
        <v>1021.7</v>
      </c>
      <c r="F115" s="2">
        <v>234.23</v>
      </c>
      <c r="G115" s="2">
        <v>1036.57</v>
      </c>
      <c r="H115" s="2">
        <v>1333.15</v>
      </c>
      <c r="I115" s="2">
        <v>907.48</v>
      </c>
      <c r="J115" s="2">
        <v>347.67</v>
      </c>
      <c r="K115" s="2">
        <v>150.6</v>
      </c>
      <c r="L115" s="2">
        <v>1167.1400000000001</v>
      </c>
      <c r="M115" s="2">
        <v>2107.65</v>
      </c>
      <c r="N115" s="2"/>
      <c r="O115" s="2"/>
      <c r="Q115" s="2">
        <f>SUM(OSRRefD14_35x)+IFERROR(SUM(OSRRefE14_35x),0)</f>
        <v>9216.02</v>
      </c>
    </row>
    <row r="116" spans="1:17" s="9" customFormat="1" hidden="1" outlineLevel="1" x14ac:dyDescent="0.25">
      <c r="A116" s="23"/>
      <c r="B116" s="10" t="str">
        <f>CONCATENATE("          ","5541", " - ","FREIGHT-IN-LOGO GIFTS")</f>
        <v xml:space="preserve">          5541 - FREIGHT-IN-LOGO GIFTS</v>
      </c>
      <c r="C116" s="22"/>
      <c r="D116" s="2">
        <v>83.58</v>
      </c>
      <c r="E116" s="2">
        <v>123.12</v>
      </c>
      <c r="F116" s="2">
        <v>154.41</v>
      </c>
      <c r="G116" s="2">
        <v>773.7</v>
      </c>
      <c r="H116" s="2">
        <v>301.06</v>
      </c>
      <c r="I116" s="2">
        <v>84.07</v>
      </c>
      <c r="J116" s="2">
        <v>182.93</v>
      </c>
      <c r="K116" s="2">
        <v>375.06</v>
      </c>
      <c r="L116" s="2">
        <v>60.07</v>
      </c>
      <c r="M116" s="2">
        <v>2877.99</v>
      </c>
      <c r="N116" s="2"/>
      <c r="O116" s="2"/>
      <c r="Q116" s="2">
        <f>SUM(OSRRefD14_36x)+IFERROR(SUM(OSRRefE14_36x),0)</f>
        <v>5015.99</v>
      </c>
    </row>
    <row r="117" spans="1:17" s="9" customFormat="1" hidden="1" outlineLevel="1" x14ac:dyDescent="0.25">
      <c r="A117" s="23"/>
      <c r="B117" s="10" t="str">
        <f>CONCATENATE("          ","5542", " - ","FREIGHT-IN-EVERYDAY GIFTS")</f>
        <v xml:space="preserve">          5542 - FREIGHT-IN-EVERYDAY GIFTS</v>
      </c>
      <c r="C117" s="22"/>
      <c r="D117" s="2">
        <v>5.94</v>
      </c>
      <c r="E117" s="2"/>
      <c r="F117" s="2">
        <v>65.44</v>
      </c>
      <c r="G117" s="2">
        <v>104.17</v>
      </c>
      <c r="H117" s="2">
        <v>21</v>
      </c>
      <c r="I117" s="2"/>
      <c r="J117" s="2">
        <v>187.38</v>
      </c>
      <c r="K117" s="2"/>
      <c r="L117" s="2">
        <v>297.79000000000002</v>
      </c>
      <c r="M117" s="2"/>
      <c r="N117" s="2"/>
      <c r="O117" s="2"/>
      <c r="Q117" s="2">
        <f>SUM(OSRRefD14_37x)+IFERROR(SUM(OSRRefE14_37x),0)</f>
        <v>681.72</v>
      </c>
    </row>
    <row r="118" spans="1:17" s="9" customFormat="1" hidden="1" outlineLevel="1" x14ac:dyDescent="0.25">
      <c r="A118" s="23"/>
      <c r="B118" s="10" t="str">
        <f>CONCATENATE("          ","5543", " - ","FREIGHT-IN-CARDS")</f>
        <v xml:space="preserve">          5543 - FREIGHT-IN-CARDS</v>
      </c>
      <c r="C118" s="22"/>
      <c r="D118" s="2"/>
      <c r="E118" s="2"/>
      <c r="F118" s="2">
        <v>81.77</v>
      </c>
      <c r="G118" s="2">
        <v>107.42</v>
      </c>
      <c r="H118" s="2">
        <v>6323.12</v>
      </c>
      <c r="I118" s="2">
        <v>605.41</v>
      </c>
      <c r="J118" s="2">
        <v>1992.81</v>
      </c>
      <c r="K118" s="2"/>
      <c r="L118" s="2"/>
      <c r="M118" s="2"/>
      <c r="N118" s="2"/>
      <c r="O118" s="2"/>
      <c r="Q118" s="2">
        <f>SUM(OSRRefD14_38x)+IFERROR(SUM(OSRRefE14_38x),0)</f>
        <v>9110.5299999999988</v>
      </c>
    </row>
    <row r="119" spans="1:17" s="9" customFormat="1" hidden="1" outlineLevel="1" x14ac:dyDescent="0.25">
      <c r="A119" s="23"/>
      <c r="B119" s="10" t="str">
        <f>CONCATENATE("          ","5545", " - ","FREIGHT-IN-SPECIAL ORDERS")</f>
        <v xml:space="preserve">          5545 - FREIGHT-IN-SPECIAL ORDERS</v>
      </c>
      <c r="C119" s="22"/>
      <c r="D119" s="2">
        <v>300.39999999999998</v>
      </c>
      <c r="E119" s="2">
        <v>145.6</v>
      </c>
      <c r="F119" s="2">
        <v>214.61</v>
      </c>
      <c r="G119" s="2">
        <v>189.66</v>
      </c>
      <c r="H119" s="2">
        <v>37.590000000000003</v>
      </c>
      <c r="I119" s="2">
        <v>225.93</v>
      </c>
      <c r="J119" s="2"/>
      <c r="K119" s="2">
        <v>134.74</v>
      </c>
      <c r="L119" s="2">
        <v>17.63</v>
      </c>
      <c r="M119" s="2">
        <v>168.6</v>
      </c>
      <c r="N119" s="2"/>
      <c r="O119" s="2"/>
      <c r="Q119" s="2">
        <f>SUM(OSRRefD14_39x)+IFERROR(SUM(OSRRefE14_39x),0)</f>
        <v>1434.76</v>
      </c>
    </row>
    <row r="120" spans="1:17" s="9" customFormat="1" hidden="1" outlineLevel="1" x14ac:dyDescent="0.25">
      <c r="A120" s="23"/>
      <c r="B120" s="10" t="str">
        <f>CONCATENATE("          ","5592", " - ","FREIGHT-IN-GRAD MERCH")</f>
        <v xml:space="preserve">          5592 - FREIGHT-IN-GRAD MERCH</v>
      </c>
      <c r="C120" s="22"/>
      <c r="D120" s="2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>
        <f>SUM(OSRRefD14_40x)+IFERROR(SUM(OSRRefE14_40x),0)</f>
        <v>0</v>
      </c>
    </row>
    <row r="121" spans="1:17" x14ac:dyDescent="0.25">
      <c r="A121" s="5"/>
      <c r="B121" s="6"/>
      <c r="C121" s="6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x14ac:dyDescent="0.25">
      <c r="A122" s="6"/>
      <c r="B122" s="17" t="s">
        <v>105</v>
      </c>
      <c r="C122" s="17"/>
      <c r="D122" s="8">
        <f t="shared" ref="D122:O122" si="38">IFERROR(+D10-D79, 0)</f>
        <v>86498.849999999919</v>
      </c>
      <c r="E122" s="8">
        <f t="shared" si="38"/>
        <v>518532.82000000007</v>
      </c>
      <c r="F122" s="8">
        <f t="shared" si="38"/>
        <v>139713.09</v>
      </c>
      <c r="G122" s="8">
        <f t="shared" si="38"/>
        <v>62579.700000000084</v>
      </c>
      <c r="H122" s="8">
        <f t="shared" si="38"/>
        <v>49628.56</v>
      </c>
      <c r="I122" s="8">
        <f t="shared" si="38"/>
        <v>100491.96999999994</v>
      </c>
      <c r="J122" s="8">
        <f t="shared" si="38"/>
        <v>407488.1399999999</v>
      </c>
      <c r="K122" s="8">
        <f t="shared" si="38"/>
        <v>67515.010000000038</v>
      </c>
      <c r="L122" s="8">
        <f t="shared" si="38"/>
        <v>85350.970000000016</v>
      </c>
      <c r="M122" s="8">
        <f t="shared" si="38"/>
        <v>215135.6400000001</v>
      </c>
      <c r="N122" s="8">
        <f t="shared" si="38"/>
        <v>129903.5</v>
      </c>
      <c r="O122" s="8">
        <f t="shared" si="38"/>
        <v>99606.9</v>
      </c>
      <c r="Q122" s="8">
        <f>IFERROR(+Q10-Q79, 0)</f>
        <v>1962445.149999998</v>
      </c>
    </row>
    <row r="123" spans="1:17" s="6" customFormat="1" x14ac:dyDescent="0.25">
      <c r="B123" s="16"/>
      <c r="C123" s="16"/>
      <c r="D123" s="4">
        <f t="shared" ref="D123:O123" si="39">IFERROR(D122/D10, 0)</f>
        <v>0.37993541012156973</v>
      </c>
      <c r="E123" s="4">
        <f t="shared" si="39"/>
        <v>0.32450626805358646</v>
      </c>
      <c r="F123" s="4">
        <f t="shared" si="39"/>
        <v>0.37667922667693765</v>
      </c>
      <c r="G123" s="4">
        <f t="shared" si="39"/>
        <v>0.39085678053261624</v>
      </c>
      <c r="H123" s="4">
        <f t="shared" si="39"/>
        <v>0.44721429584548106</v>
      </c>
      <c r="I123" s="4">
        <f t="shared" si="39"/>
        <v>0.43012978459176804</v>
      </c>
      <c r="J123" s="4">
        <f t="shared" si="39"/>
        <v>0.34567351303659277</v>
      </c>
      <c r="K123" s="4">
        <f t="shared" si="39"/>
        <v>0.33262861305245045</v>
      </c>
      <c r="L123" s="4">
        <f t="shared" si="39"/>
        <v>0.4638760180835132</v>
      </c>
      <c r="M123" s="4">
        <f t="shared" si="39"/>
        <v>0.49059693338548788</v>
      </c>
      <c r="N123" s="4">
        <f t="shared" si="39"/>
        <v>0.500095281175712</v>
      </c>
      <c r="O123" s="4">
        <f t="shared" si="39"/>
        <v>0.52655286652756628</v>
      </c>
      <c r="P123" s="18"/>
      <c r="Q123" s="4">
        <f>IFERROR(Q122/Q10, 0)</f>
        <v>0.38072923740465991</v>
      </c>
    </row>
    <row r="124" spans="1:17" x14ac:dyDescent="0.25">
      <c r="A124" s="5"/>
      <c r="B124" s="6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Q124" s="1"/>
    </row>
    <row r="125" spans="1:17" s="15" customFormat="1" x14ac:dyDescent="0.25">
      <c r="A125" s="6"/>
      <c r="B125" s="16" t="s">
        <v>254</v>
      </c>
      <c r="C125" s="6"/>
      <c r="D125" s="14">
        <f>SUM(OSRRefD20x_0)</f>
        <v>353875.88000000006</v>
      </c>
      <c r="E125" s="14">
        <f>SUM(OSRRefD20x_1)</f>
        <v>253866.55999999997</v>
      </c>
      <c r="F125" s="14">
        <f>SUM(OSRRefD20x_2)</f>
        <v>291986.44000000006</v>
      </c>
      <c r="G125" s="14">
        <f>SUM(OSRRefD20x_3)</f>
        <v>349347.23000000004</v>
      </c>
      <c r="H125" s="14">
        <f>SUM(OSRRefD20x_4)</f>
        <v>261303.51000000004</v>
      </c>
      <c r="I125" s="14">
        <f>SUM(OSRRefD20x_5)</f>
        <v>269056.45</v>
      </c>
      <c r="J125" s="14">
        <f>SUM(OSRRefD20x_6)</f>
        <v>314919.26000000007</v>
      </c>
      <c r="K125" s="14">
        <f>SUM(OSRRefD20x_7)</f>
        <v>265311.35999999999</v>
      </c>
      <c r="L125" s="14">
        <f>SUM(OSRRefD20x_8)</f>
        <v>240619.24999999997</v>
      </c>
      <c r="M125" s="14">
        <f>SUM(OSRRefD20x_9)</f>
        <v>271150.81</v>
      </c>
      <c r="N125" s="14">
        <f>SUM(OSRRefE20x_0)</f>
        <v>299300.81238948274</v>
      </c>
      <c r="O125" s="14">
        <f>SUM(OSRRefE20x_1)</f>
        <v>288475.84767454525</v>
      </c>
      <c r="Q125" s="14">
        <f>SUM(OSRRefG20x)</f>
        <v>3459213.4100640262</v>
      </c>
    </row>
    <row r="126" spans="1:17" s="34" customFormat="1" collapsed="1" x14ac:dyDescent="0.25">
      <c r="A126" s="35"/>
      <c r="B126" s="11" t="str">
        <f>CONCATENATE("     ","*Benefits                                         ")</f>
        <v xml:space="preserve">     *Benefits                                         </v>
      </c>
      <c r="C126" s="11"/>
      <c r="D126" s="1">
        <f>SUM(OSRRefD21_0x_0)</f>
        <v>49661.67</v>
      </c>
      <c r="E126" s="1">
        <f>SUM(OSRRefD21_0x_1)</f>
        <v>51389.340000000004</v>
      </c>
      <c r="F126" s="1">
        <f>SUM(OSRRefD21_0x_2)</f>
        <v>52903.110000000008</v>
      </c>
      <c r="G126" s="1">
        <f>SUM(OSRRefD21_0x_3)</f>
        <v>54321.38</v>
      </c>
      <c r="H126" s="1">
        <f>SUM(OSRRefD21_0x_4)</f>
        <v>48664.140000000007</v>
      </c>
      <c r="I126" s="1">
        <f>SUM(OSRRefD21_0x_5)</f>
        <v>45950.22</v>
      </c>
      <c r="J126" s="1">
        <f>SUM(OSRRefD21_0x_6)</f>
        <v>51590.869999999995</v>
      </c>
      <c r="K126" s="1">
        <f>SUM(OSRRefD21_0x_7)</f>
        <v>45174.219999999994</v>
      </c>
      <c r="L126" s="1">
        <f>SUM(OSRRefD21_0x_8)</f>
        <v>45623.819999999992</v>
      </c>
      <c r="M126" s="1">
        <f>SUM(OSRRefD21_0x_9)</f>
        <v>53608.380000000005</v>
      </c>
      <c r="N126" s="1">
        <f>SUM(OSRRefE21_0x_0)</f>
        <v>49911.382215021149</v>
      </c>
      <c r="O126" s="1">
        <f>SUM(OSRRefE21_0x_1)</f>
        <v>52326.528750083606</v>
      </c>
      <c r="Q126" s="2">
        <f>SUM(OSRRefD20_0x)+IFERROR(SUM(OSRRefE20_0x),0)</f>
        <v>601125.06096510473</v>
      </c>
    </row>
    <row r="127" spans="1:17" s="34" customFormat="1" hidden="1" outlineLevel="1" x14ac:dyDescent="0.25">
      <c r="A127" s="35"/>
      <c r="B127" s="10" t="str">
        <f>CONCATENATE("          ","6111", " - ","F.I.C.A.")</f>
        <v xml:space="preserve">          6111 - F.I.C.A.</v>
      </c>
      <c r="C127" s="11"/>
      <c r="D127" s="2">
        <v>8428.1200000000008</v>
      </c>
      <c r="E127" s="2">
        <v>11412.37</v>
      </c>
      <c r="F127" s="2">
        <v>12116.03</v>
      </c>
      <c r="G127" s="2">
        <v>13323.07</v>
      </c>
      <c r="H127" s="2">
        <v>6830.29</v>
      </c>
      <c r="I127" s="2">
        <v>7317.04</v>
      </c>
      <c r="J127" s="2">
        <v>7931.47</v>
      </c>
      <c r="K127" s="2">
        <v>7541.13</v>
      </c>
      <c r="L127" s="2">
        <v>7478.02</v>
      </c>
      <c r="M127" s="2">
        <v>10750.32</v>
      </c>
      <c r="N127" s="2">
        <v>7643.37395357885</v>
      </c>
      <c r="O127" s="2">
        <v>10389.6161735163</v>
      </c>
      <c r="P127" s="9"/>
      <c r="Q127" s="2">
        <f>SUM(OSRRefD21_0_0x)+IFERROR(SUM(OSRRefE21_0_0x),0)</f>
        <v>111160.85012709517</v>
      </c>
    </row>
    <row r="128" spans="1:17" s="34" customFormat="1" hidden="1" outlineLevel="1" x14ac:dyDescent="0.25">
      <c r="A128" s="35"/>
      <c r="B128" s="10" t="str">
        <f>CONCATENATE("          ","6112", " - ","COMPENSATION INSURANCE")</f>
        <v xml:space="preserve">          6112 - COMPENSATION INSURANCE</v>
      </c>
      <c r="C128" s="11"/>
      <c r="D128" s="2">
        <v>1948.81</v>
      </c>
      <c r="E128" s="2">
        <v>2528.56</v>
      </c>
      <c r="F128" s="2">
        <v>4233.78</v>
      </c>
      <c r="G128" s="2">
        <v>1907.43</v>
      </c>
      <c r="H128" s="2">
        <v>2948.75</v>
      </c>
      <c r="I128" s="2">
        <v>2948.75</v>
      </c>
      <c r="J128" s="2">
        <v>804.16</v>
      </c>
      <c r="K128" s="2">
        <v>1772.31</v>
      </c>
      <c r="L128" s="2">
        <v>1716.92</v>
      </c>
      <c r="M128" s="2">
        <v>1599.53</v>
      </c>
      <c r="N128" s="2">
        <v>2754.7963100961601</v>
      </c>
      <c r="O128" s="2">
        <v>2548.0012519711599</v>
      </c>
      <c r="P128" s="9"/>
      <c r="Q128" s="2">
        <f>SUM(OSRRefD21_0_1x)+IFERROR(SUM(OSRRefE21_0_1x),0)</f>
        <v>27711.797562067321</v>
      </c>
    </row>
    <row r="129" spans="1:17" s="34" customFormat="1" hidden="1" outlineLevel="1" x14ac:dyDescent="0.25">
      <c r="A129" s="35"/>
      <c r="B129" s="10" t="str">
        <f>CONCATENATE("          ","6113", " - ","GROUP INSURANCE")</f>
        <v xml:space="preserve">          6113 - GROUP INSURANCE</v>
      </c>
      <c r="C129" s="11"/>
      <c r="D129" s="2">
        <v>18089.25</v>
      </c>
      <c r="E129" s="2">
        <v>18240.330000000002</v>
      </c>
      <c r="F129" s="2">
        <v>17485.86</v>
      </c>
      <c r="G129" s="2">
        <v>17506.16</v>
      </c>
      <c r="H129" s="2">
        <v>17506.16</v>
      </c>
      <c r="I129" s="2">
        <v>17637.66</v>
      </c>
      <c r="J129" s="2">
        <v>21620.29</v>
      </c>
      <c r="K129" s="2">
        <v>18287.8</v>
      </c>
      <c r="L129" s="2">
        <v>18280.3</v>
      </c>
      <c r="M129" s="2">
        <v>18284.05</v>
      </c>
      <c r="N129" s="2">
        <v>20582.884615384599</v>
      </c>
      <c r="O129" s="2">
        <v>20582.884615384599</v>
      </c>
      <c r="P129" s="9"/>
      <c r="Q129" s="2">
        <f>SUM(OSRRefD21_0_2x)+IFERROR(SUM(OSRRefE21_0_2x),0)</f>
        <v>224103.62923076918</v>
      </c>
    </row>
    <row r="130" spans="1:17" s="34" customFormat="1" hidden="1" outlineLevel="1" x14ac:dyDescent="0.25">
      <c r="A130" s="35"/>
      <c r="B130" s="10" t="str">
        <f>CONCATENATE("          ","6114", " - ","STATE UNEMPLOYMENT INSURANCE")</f>
        <v xml:space="preserve">          6114 - STATE UNEMPLOYMENT INSURANCE</v>
      </c>
      <c r="C130" s="11"/>
      <c r="D130" s="2">
        <v>298.95</v>
      </c>
      <c r="E130" s="2">
        <v>396.16</v>
      </c>
      <c r="F130" s="2">
        <v>510.55</v>
      </c>
      <c r="G130" s="2">
        <v>325.23</v>
      </c>
      <c r="H130" s="2">
        <v>549.53</v>
      </c>
      <c r="I130" s="2"/>
      <c r="J130" s="2">
        <v>667.99</v>
      </c>
      <c r="K130" s="2">
        <v>314.29000000000002</v>
      </c>
      <c r="L130" s="2">
        <v>305.79000000000002</v>
      </c>
      <c r="M130" s="2">
        <v>297.08999999999997</v>
      </c>
      <c r="N130" s="2">
        <v>387.16056250000003</v>
      </c>
      <c r="O130" s="2">
        <v>358.09747325000001</v>
      </c>
      <c r="P130" s="9"/>
      <c r="Q130" s="2">
        <f>SUM(OSRRefD21_0_3x)+IFERROR(SUM(OSRRefE21_0_3x),0)</f>
        <v>4410.83803575</v>
      </c>
    </row>
    <row r="131" spans="1:17" s="34" customFormat="1" hidden="1" outlineLevel="1" x14ac:dyDescent="0.25">
      <c r="A131" s="35"/>
      <c r="B131" s="10" t="str">
        <f>CONCATENATE("          ","6115", " - ","P.E.R.S.")</f>
        <v xml:space="preserve">          6115 - P.E.R.S.</v>
      </c>
      <c r="C131" s="11"/>
      <c r="D131" s="2">
        <v>10020.82</v>
      </c>
      <c r="E131" s="2">
        <v>7091.2</v>
      </c>
      <c r="F131" s="2">
        <v>6866.1</v>
      </c>
      <c r="G131" s="2">
        <v>5500.01</v>
      </c>
      <c r="H131" s="2">
        <v>9608.6200000000008</v>
      </c>
      <c r="I131" s="2">
        <v>6456.79</v>
      </c>
      <c r="J131" s="2">
        <v>9507.2199999999993</v>
      </c>
      <c r="K131" s="2">
        <v>6291.44</v>
      </c>
      <c r="L131" s="2">
        <v>6355.43</v>
      </c>
      <c r="M131" s="2">
        <v>6172.91</v>
      </c>
      <c r="N131" s="2">
        <v>6291.9351092307597</v>
      </c>
      <c r="O131" s="2">
        <v>6291.9351092307597</v>
      </c>
      <c r="P131" s="9"/>
      <c r="Q131" s="2">
        <f>SUM(OSRRefD21_0_4x)+IFERROR(SUM(OSRRefE21_0_4x),0)</f>
        <v>86454.410218461533</v>
      </c>
    </row>
    <row r="132" spans="1:17" s="34" customFormat="1" hidden="1" outlineLevel="1" x14ac:dyDescent="0.25">
      <c r="A132" s="35"/>
      <c r="B132" s="10" t="str">
        <f>CONCATENATE("          ","6116", " - ","EDUCATIONAL BENEFITS")</f>
        <v xml:space="preserve">          6116 - EDUCATIONAL BENEFITS</v>
      </c>
      <c r="C132" s="11"/>
      <c r="D132" s="2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>
        <v>0</v>
      </c>
      <c r="O132" s="2">
        <v>0</v>
      </c>
      <c r="P132" s="9"/>
      <c r="Q132" s="2">
        <f>SUM(OSRRefD21_0_5x)+IFERROR(SUM(OSRRefE21_0_5x),0)</f>
        <v>0</v>
      </c>
    </row>
    <row r="133" spans="1:17" s="34" customFormat="1" hidden="1" outlineLevel="1" x14ac:dyDescent="0.25">
      <c r="A133" s="35"/>
      <c r="B133" s="10" t="str">
        <f>CONCATENATE("          ","6117", " - ","RETIREMENT STAFF HOURLY")</f>
        <v xml:space="preserve">          6117 - RETIREMENT STAFF HOURLY</v>
      </c>
      <c r="C133" s="11"/>
      <c r="D133" s="2">
        <v>333.14</v>
      </c>
      <c r="E133" s="2">
        <v>255.65</v>
      </c>
      <c r="F133" s="2">
        <v>248.98</v>
      </c>
      <c r="G133" s="2">
        <v>222.97</v>
      </c>
      <c r="H133" s="2">
        <v>232.91</v>
      </c>
      <c r="I133" s="2">
        <v>440.47</v>
      </c>
      <c r="J133" s="2">
        <v>506.92</v>
      </c>
      <c r="K133" s="2">
        <v>509.38</v>
      </c>
      <c r="L133" s="2">
        <v>650.84</v>
      </c>
      <c r="M133" s="2">
        <v>359.71</v>
      </c>
      <c r="N133" s="2"/>
      <c r="O133" s="2"/>
      <c r="P133" s="9"/>
      <c r="Q133" s="2">
        <f>SUM(OSRRefD21_0_6x)+IFERROR(SUM(OSRRefE21_0_6x),0)</f>
        <v>3760.9700000000003</v>
      </c>
    </row>
    <row r="134" spans="1:17" s="34" customFormat="1" hidden="1" outlineLevel="1" x14ac:dyDescent="0.25">
      <c r="A134" s="35"/>
      <c r="B134" s="10" t="str">
        <f>CONCATENATE("          ","6118", " - ","VACATION")</f>
        <v xml:space="preserve">          6118 - VACATION</v>
      </c>
      <c r="C134" s="11"/>
      <c r="D134" s="2">
        <v>5532.58</v>
      </c>
      <c r="E134" s="2">
        <v>5637.74</v>
      </c>
      <c r="F134" s="2">
        <v>5351.69</v>
      </c>
      <c r="G134" s="2">
        <v>7814.31</v>
      </c>
      <c r="H134" s="2">
        <v>5484.99</v>
      </c>
      <c r="I134" s="2">
        <v>5850.94</v>
      </c>
      <c r="J134" s="2">
        <v>5779.06</v>
      </c>
      <c r="K134" s="2">
        <v>5425.16</v>
      </c>
      <c r="L134" s="2">
        <v>5455.57</v>
      </c>
      <c r="M134" s="2">
        <v>8608.57</v>
      </c>
      <c r="N134" s="2">
        <v>5243.8142476923103</v>
      </c>
      <c r="O134" s="2">
        <v>5243.8142476923103</v>
      </c>
      <c r="P134" s="9"/>
      <c r="Q134" s="2">
        <f>SUM(OSRRefD21_0_7x)+IFERROR(SUM(OSRRefE21_0_7x),0)</f>
        <v>71428.238495384619</v>
      </c>
    </row>
    <row r="135" spans="1:17" s="34" customFormat="1" hidden="1" outlineLevel="1" x14ac:dyDescent="0.25">
      <c r="A135" s="35"/>
      <c r="B135" s="10" t="str">
        <f>CONCATENATE("          ","6119", " - ","SICK LEAVE")</f>
        <v xml:space="preserve">          6119 - SICK LEAVE</v>
      </c>
      <c r="C135" s="11"/>
      <c r="D135" s="2">
        <v>3988.6</v>
      </c>
      <c r="E135" s="2">
        <v>4067.85</v>
      </c>
      <c r="F135" s="2">
        <v>3971.91</v>
      </c>
      <c r="G135" s="2">
        <v>5813.96</v>
      </c>
      <c r="H135" s="2">
        <v>3953.98</v>
      </c>
      <c r="I135" s="2">
        <v>4031.99</v>
      </c>
      <c r="J135" s="2">
        <v>3939.34</v>
      </c>
      <c r="K135" s="2">
        <v>3824.03</v>
      </c>
      <c r="L135" s="2">
        <v>3824.03</v>
      </c>
      <c r="M135" s="2">
        <v>5736.04</v>
      </c>
      <c r="N135" s="2">
        <v>4857.4174165384702</v>
      </c>
      <c r="O135" s="2">
        <v>4762.1798790384701</v>
      </c>
      <c r="P135" s="9"/>
      <c r="Q135" s="2">
        <f>SUM(OSRRefD21_0_8x)+IFERROR(SUM(OSRRefE21_0_8x),0)</f>
        <v>52771.327295576943</v>
      </c>
    </row>
    <row r="136" spans="1:17" s="34" customFormat="1" hidden="1" outlineLevel="1" x14ac:dyDescent="0.25">
      <c r="A136" s="35"/>
      <c r="B136" s="10" t="str">
        <f>CONCATENATE("          ","6156", " - ","EMPLOYEE MEALS")</f>
        <v xml:space="preserve">          6156 - EMPLOYEE MEALS</v>
      </c>
      <c r="C136" s="11"/>
      <c r="D136" s="2">
        <v>1021.4</v>
      </c>
      <c r="E136" s="2">
        <v>1759.48</v>
      </c>
      <c r="F136" s="2">
        <v>2118.21</v>
      </c>
      <c r="G136" s="2">
        <v>1908.24</v>
      </c>
      <c r="H136" s="2">
        <v>1548.91</v>
      </c>
      <c r="I136" s="2">
        <v>1266.58</v>
      </c>
      <c r="J136" s="2">
        <v>834.42</v>
      </c>
      <c r="K136" s="2">
        <v>1208.68</v>
      </c>
      <c r="L136" s="2">
        <v>1556.92</v>
      </c>
      <c r="M136" s="2">
        <v>1800.16</v>
      </c>
      <c r="N136" s="2">
        <v>2150</v>
      </c>
      <c r="O136" s="2">
        <v>2150</v>
      </c>
      <c r="P136" s="9"/>
      <c r="Q136" s="2">
        <f>SUM(OSRRefD21_0_9x)+IFERROR(SUM(OSRRefE21_0_9x),0)</f>
        <v>19323</v>
      </c>
    </row>
    <row r="137" spans="1:17" s="34" customFormat="1" collapsed="1" x14ac:dyDescent="0.25">
      <c r="A137" s="35"/>
      <c r="B137" s="11" t="str">
        <f>CONCATENATE("     ","*Payroll                                          ")</f>
        <v xml:space="preserve">     *Payroll                                          </v>
      </c>
      <c r="C137" s="11"/>
      <c r="D137" s="1">
        <f>SUM(OSRRefD21_1x_0)</f>
        <v>131954.59000000003</v>
      </c>
      <c r="E137" s="1">
        <f>SUM(OSRRefD21_1x_1)</f>
        <v>170009.67</v>
      </c>
      <c r="F137" s="1">
        <f>SUM(OSRRefD21_1x_2)</f>
        <v>131236.80000000002</v>
      </c>
      <c r="G137" s="1">
        <f>SUM(OSRRefD21_1x_3)</f>
        <v>122794.74999999999</v>
      </c>
      <c r="H137" s="1">
        <f>SUM(OSRRefD21_1x_4)</f>
        <v>96374.430000000008</v>
      </c>
      <c r="I137" s="1">
        <f>SUM(OSRRefD21_1x_5)</f>
        <v>119812.64000000001</v>
      </c>
      <c r="J137" s="1">
        <f>SUM(OSRRefD21_1x_6)</f>
        <v>164815.32</v>
      </c>
      <c r="K137" s="1">
        <f>SUM(OSRRefD21_1x_7)</f>
        <v>111617.56</v>
      </c>
      <c r="L137" s="1">
        <f>SUM(OSRRefD21_1x_8)</f>
        <v>116406.42</v>
      </c>
      <c r="M137" s="1">
        <f>SUM(OSRRefD21_1x_9)</f>
        <v>125797.98</v>
      </c>
      <c r="N137" s="1">
        <f>SUM(OSRRefE21_1x_0)</f>
        <v>139540.43017446162</v>
      </c>
      <c r="O137" s="1">
        <f>SUM(OSRRefE21_1x_1)</f>
        <v>128362.31892446162</v>
      </c>
      <c r="Q137" s="2">
        <f>SUM(OSRRefD20_1x)+IFERROR(SUM(OSRRefE20_1x),0)</f>
        <v>1558722.9090989234</v>
      </c>
    </row>
    <row r="138" spans="1:17" s="34" customFormat="1" hidden="1" outlineLevel="1" x14ac:dyDescent="0.25">
      <c r="A138" s="35"/>
      <c r="B138" s="10" t="str">
        <f>CONCATENATE("          ","6001", " - ","ADMINISTRATIVE SALARIES")</f>
        <v xml:space="preserve">          6001 - ADMINISTRATIVE SALARIES</v>
      </c>
      <c r="C138" s="11"/>
      <c r="D138" s="2">
        <v>4525.8500000000004</v>
      </c>
      <c r="E138" s="2">
        <v>4205.74</v>
      </c>
      <c r="F138" s="2">
        <v>4205.74</v>
      </c>
      <c r="G138" s="2">
        <v>4205.17</v>
      </c>
      <c r="H138" s="2">
        <v>3995.45</v>
      </c>
      <c r="I138" s="2">
        <v>3745.16</v>
      </c>
      <c r="J138" s="2">
        <v>5332.74</v>
      </c>
      <c r="K138" s="2">
        <v>4280.74</v>
      </c>
      <c r="L138" s="2">
        <v>4279.74</v>
      </c>
      <c r="M138" s="2">
        <v>4416.46</v>
      </c>
      <c r="N138" s="2">
        <v>3807.6923076923099</v>
      </c>
      <c r="O138" s="2">
        <v>3807.6923076923099</v>
      </c>
      <c r="P138" s="9"/>
      <c r="Q138" s="2">
        <f>SUM(OSRRefD21_1_0x)+IFERROR(SUM(OSRRefE21_1_0x),0)</f>
        <v>50808.174615384611</v>
      </c>
    </row>
    <row r="139" spans="1:17" s="34" customFormat="1" hidden="1" outlineLevel="1" x14ac:dyDescent="0.25">
      <c r="A139" s="35"/>
      <c r="B139" s="10" t="str">
        <f>CONCATENATE("          ","6002", " - ","STAFF SALARIES")</f>
        <v xml:space="preserve">          6002 - STAFF SALARIES</v>
      </c>
      <c r="C139" s="11"/>
      <c r="D139" s="2">
        <v>75913.429999999993</v>
      </c>
      <c r="E139" s="2">
        <v>63577.42</v>
      </c>
      <c r="F139" s="2">
        <v>62783.42</v>
      </c>
      <c r="G139" s="2">
        <v>60359.32</v>
      </c>
      <c r="H139" s="2">
        <v>52152.77</v>
      </c>
      <c r="I139" s="2">
        <v>60554.25</v>
      </c>
      <c r="J139" s="2">
        <v>79241.259999999995</v>
      </c>
      <c r="K139" s="2">
        <v>60271.59</v>
      </c>
      <c r="L139" s="2">
        <v>59850.43</v>
      </c>
      <c r="M139" s="2">
        <v>68299.41</v>
      </c>
      <c r="N139" s="2">
        <v>61781.615286769302</v>
      </c>
      <c r="O139" s="2">
        <v>61781.615286769302</v>
      </c>
      <c r="P139" s="9"/>
      <c r="Q139" s="2">
        <f>SUM(OSRRefD21_1_1x)+IFERROR(SUM(OSRRefE21_1_1x),0)</f>
        <v>766566.53057353862</v>
      </c>
    </row>
    <row r="140" spans="1:17" s="34" customFormat="1" hidden="1" outlineLevel="1" x14ac:dyDescent="0.25">
      <c r="A140" s="35"/>
      <c r="B140" s="10" t="str">
        <f>CONCATENATE("          ","6003", " - ","STAFF HOURLY-9 MONTH")</f>
        <v xml:space="preserve">          6003 - STAFF HOURLY-9 MONTH</v>
      </c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>
        <v>0</v>
      </c>
      <c r="O140" s="2">
        <v>0</v>
      </c>
      <c r="P140" s="9"/>
      <c r="Q140" s="2">
        <f>SUM(OSRRefD21_1_2x)+IFERROR(SUM(OSRRefE21_1_2x),0)</f>
        <v>0</v>
      </c>
    </row>
    <row r="141" spans="1:17" s="34" customFormat="1" hidden="1" outlineLevel="1" x14ac:dyDescent="0.25">
      <c r="A141" s="35"/>
      <c r="B141" s="10" t="str">
        <f>CONCATENATE("          ","6004", " - ","STAFF HOURLY")</f>
        <v xml:space="preserve">          6004 - STAFF HOURLY</v>
      </c>
      <c r="C141" s="11"/>
      <c r="D141" s="2">
        <v>15713.52</v>
      </c>
      <c r="E141" s="2">
        <v>13876.36</v>
      </c>
      <c r="F141" s="2">
        <v>15888.17</v>
      </c>
      <c r="G141" s="2">
        <v>18098.75</v>
      </c>
      <c r="H141" s="2">
        <v>11939.34</v>
      </c>
      <c r="I141" s="2">
        <v>15520.77</v>
      </c>
      <c r="J141" s="2">
        <v>18984.73</v>
      </c>
      <c r="K141" s="2">
        <v>15570.79</v>
      </c>
      <c r="L141" s="2">
        <v>11915.7</v>
      </c>
      <c r="M141" s="2">
        <v>17783.84</v>
      </c>
      <c r="N141" s="2">
        <v>24764.870080000001</v>
      </c>
      <c r="O141" s="2">
        <v>24764.870080000001</v>
      </c>
      <c r="P141" s="9"/>
      <c r="Q141" s="2">
        <f>SUM(OSRRefD21_1_3x)+IFERROR(SUM(OSRRefE21_1_3x),0)</f>
        <v>204821.71016000002</v>
      </c>
    </row>
    <row r="142" spans="1:17" s="34" customFormat="1" hidden="1" outlineLevel="1" x14ac:dyDescent="0.25">
      <c r="A142" s="35"/>
      <c r="B142" s="10" t="str">
        <f>CONCATENATE("          ","6005", " - ","TEMPORARY WAGES-HOURLY")</f>
        <v xml:space="preserve">          6005 - TEMPORARY WAGES-HOURLY</v>
      </c>
      <c r="C142" s="11"/>
      <c r="D142" s="2">
        <v>12385.55</v>
      </c>
      <c r="E142" s="2">
        <v>22505.49</v>
      </c>
      <c r="F142" s="2">
        <v>27625.56</v>
      </c>
      <c r="G142" s="2">
        <v>19984.259999999998</v>
      </c>
      <c r="H142" s="2">
        <v>7697.23</v>
      </c>
      <c r="I142" s="2">
        <v>9577.32</v>
      </c>
      <c r="J142" s="2">
        <v>12550.77</v>
      </c>
      <c r="K142" s="2">
        <v>12213.85</v>
      </c>
      <c r="L142" s="2">
        <v>13818.91</v>
      </c>
      <c r="M142" s="2">
        <v>16005.07</v>
      </c>
      <c r="N142" s="2">
        <v>1926.6</v>
      </c>
      <c r="O142" s="2">
        <v>1971.06</v>
      </c>
      <c r="P142" s="9"/>
      <c r="Q142" s="2">
        <f>SUM(OSRRefD21_1_4x)+IFERROR(SUM(OSRRefE21_1_4x),0)</f>
        <v>158261.67000000001</v>
      </c>
    </row>
    <row r="143" spans="1:17" s="34" customFormat="1" hidden="1" outlineLevel="1" x14ac:dyDescent="0.25">
      <c r="A143" s="35"/>
      <c r="B143" s="10" t="str">
        <f>CONCATENATE("          ","6006", " - ","TEMPORARY PART TIME")</f>
        <v xml:space="preserve">          6006 - TEMPORARY PART TIME</v>
      </c>
      <c r="C143" s="11"/>
      <c r="D143" s="2">
        <v>2048.21</v>
      </c>
      <c r="E143" s="2">
        <v>1927.34</v>
      </c>
      <c r="F143" s="2">
        <v>1728.86</v>
      </c>
      <c r="G143" s="2">
        <v>1802.76</v>
      </c>
      <c r="H143" s="2">
        <v>1048.44</v>
      </c>
      <c r="I143" s="2">
        <v>1432.35</v>
      </c>
      <c r="J143" s="2"/>
      <c r="K143" s="2">
        <v>2042.44</v>
      </c>
      <c r="L143" s="2">
        <v>2022.89</v>
      </c>
      <c r="M143" s="2">
        <v>2893.47</v>
      </c>
      <c r="N143" s="2">
        <v>0</v>
      </c>
      <c r="O143" s="2">
        <v>0</v>
      </c>
      <c r="P143" s="9"/>
      <c r="Q143" s="2">
        <f>SUM(OSRRefD21_1_5x)+IFERROR(SUM(OSRRefE21_1_5x),0)</f>
        <v>16946.760000000002</v>
      </c>
    </row>
    <row r="144" spans="1:17" s="34" customFormat="1" hidden="1" outlineLevel="1" x14ac:dyDescent="0.25">
      <c r="A144" s="35"/>
      <c r="B144" s="10" t="str">
        <f>CONCATENATE("          ","6007", " - ","STUDENT HOURLY")</f>
        <v xml:space="preserve">          6007 - STUDENT HOURLY</v>
      </c>
      <c r="C144" s="11"/>
      <c r="D144" s="2">
        <v>21368.03</v>
      </c>
      <c r="E144" s="2">
        <v>63484.29</v>
      </c>
      <c r="F144" s="2">
        <v>17949.38</v>
      </c>
      <c r="G144" s="2">
        <v>16868.47</v>
      </c>
      <c r="H144" s="2">
        <v>18658.63</v>
      </c>
      <c r="I144" s="2">
        <v>27899.63</v>
      </c>
      <c r="J144" s="2">
        <v>47460.94</v>
      </c>
      <c r="K144" s="2">
        <v>16114.23</v>
      </c>
      <c r="L144" s="2">
        <v>23406.38</v>
      </c>
      <c r="M144" s="2">
        <v>14809.4</v>
      </c>
      <c r="N144" s="2">
        <v>711.5625</v>
      </c>
      <c r="O144" s="2">
        <v>36037.081250000003</v>
      </c>
      <c r="P144" s="9"/>
      <c r="Q144" s="2">
        <f>SUM(OSRRefD21_1_6x)+IFERROR(SUM(OSRRefE21_1_6x),0)</f>
        <v>304768.02375000005</v>
      </c>
    </row>
    <row r="145" spans="1:17" s="34" customFormat="1" hidden="1" outlineLevel="1" x14ac:dyDescent="0.25">
      <c r="A145" s="35"/>
      <c r="B145" s="10" t="str">
        <f>CONCATENATE("          ","6008", " - ","STUDENT HOURLY-FICA EXEMPT")</f>
        <v xml:space="preserve">          6008 - STUDENT HOURLY-FICA EXEMPT</v>
      </c>
      <c r="C145" s="11"/>
      <c r="D145" s="2"/>
      <c r="E145" s="2">
        <v>433.03</v>
      </c>
      <c r="F145" s="2">
        <v>1055.67</v>
      </c>
      <c r="G145" s="2">
        <v>1476.02</v>
      </c>
      <c r="H145" s="2">
        <v>882.57</v>
      </c>
      <c r="I145" s="2">
        <v>1083.1600000000001</v>
      </c>
      <c r="J145" s="2">
        <v>1244.8800000000001</v>
      </c>
      <c r="K145" s="2">
        <v>1123.92</v>
      </c>
      <c r="L145" s="2">
        <v>1112.3699999999999</v>
      </c>
      <c r="M145" s="2">
        <v>1590.33</v>
      </c>
      <c r="N145" s="2">
        <v>46548.09</v>
      </c>
      <c r="O145" s="2">
        <v>0</v>
      </c>
      <c r="P145" s="9"/>
      <c r="Q145" s="2">
        <f>SUM(OSRRefD21_1_7x)+IFERROR(SUM(OSRRefE21_1_7x),0)</f>
        <v>56550.039999999994</v>
      </c>
    </row>
    <row r="146" spans="1:17" s="34" customFormat="1" hidden="1" outlineLevel="1" x14ac:dyDescent="0.25">
      <c r="A146" s="35"/>
      <c r="B146" s="10" t="str">
        <f>CONCATENATE("          ","6009", " - ","TEMPORARY-SEASONAL")</f>
        <v xml:space="preserve">          6009 - TEMPORARY-SEASONAL</v>
      </c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>
        <v>0</v>
      </c>
      <c r="O146" s="2">
        <v>0</v>
      </c>
      <c r="P146" s="9"/>
      <c r="Q146" s="2">
        <f>SUM(OSRRefD21_1_8x)+IFERROR(SUM(OSRRefE21_1_8x),0)</f>
        <v>0</v>
      </c>
    </row>
    <row r="147" spans="1:17" s="34" customFormat="1" hidden="1" outlineLevel="1" x14ac:dyDescent="0.25">
      <c r="A147" s="35"/>
      <c r="B147" s="10" t="str">
        <f>CONCATENATE("          ","6010", " - ","GRATUITY")</f>
        <v xml:space="preserve">          6010 - GRATUITY</v>
      </c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>
        <v>0</v>
      </c>
      <c r="O147" s="2">
        <v>0</v>
      </c>
      <c r="P147" s="9"/>
      <c r="Q147" s="2">
        <f>SUM(OSRRefD21_1_9x)+IFERROR(SUM(OSRRefE21_1_9x),0)</f>
        <v>0</v>
      </c>
    </row>
    <row r="148" spans="1:17" s="34" customFormat="1" collapsed="1" x14ac:dyDescent="0.25">
      <c r="A148" s="35"/>
      <c r="B148" s="11" t="str">
        <f>CONCATENATE("     ","Advertising/Promo                                 ")</f>
        <v xml:space="preserve">     Advertising/Promo                                 </v>
      </c>
      <c r="C148" s="11"/>
      <c r="D148" s="1">
        <f>SUM(OSRRefD21_2x_0)</f>
        <v>2590.83</v>
      </c>
      <c r="E148" s="1">
        <f>SUM(OSRRefD21_2x_1)</f>
        <v>9411.3700000000008</v>
      </c>
      <c r="F148" s="1">
        <f>SUM(OSRRefD21_2x_2)</f>
        <v>391.39</v>
      </c>
      <c r="G148" s="1">
        <f>SUM(OSRRefD21_2x_3)</f>
        <v>1316.16</v>
      </c>
      <c r="H148" s="1">
        <f>SUM(OSRRefD21_2x_4)</f>
        <v>648.78</v>
      </c>
      <c r="I148" s="1">
        <f>SUM(OSRRefD21_2x_5)</f>
        <v>343.98</v>
      </c>
      <c r="J148" s="1">
        <f>SUM(OSRRefD21_2x_6)</f>
        <v>1331.63</v>
      </c>
      <c r="K148" s="1">
        <f>SUM(OSRRefD21_2x_7)</f>
        <v>114.65</v>
      </c>
      <c r="L148" s="1">
        <f>SUM(OSRRefD21_2x_8)</f>
        <v>73.430000000000007</v>
      </c>
      <c r="M148" s="1">
        <f>SUM(OSRRefD21_2x_9)</f>
        <v>1313.83</v>
      </c>
      <c r="N148" s="1">
        <f>SUM(OSRRefE21_2x_0)</f>
        <v>700</v>
      </c>
      <c r="O148" s="1">
        <f>SUM(OSRRefE21_2x_1)</f>
        <v>250</v>
      </c>
      <c r="Q148" s="2">
        <f>SUM(OSRRefD20_2x)+IFERROR(SUM(OSRRefE20_2x),0)</f>
        <v>18486.05</v>
      </c>
    </row>
    <row r="149" spans="1:17" s="34" customFormat="1" hidden="1" outlineLevel="1" x14ac:dyDescent="0.25">
      <c r="A149" s="35"/>
      <c r="B149" s="10" t="str">
        <f>CONCATENATE("          ","6362", " - ","ADVERTISING EXPENSE")</f>
        <v xml:space="preserve">          6362 - ADVERTISING EXPENSE</v>
      </c>
      <c r="C149" s="11"/>
      <c r="D149" s="2">
        <v>2590.83</v>
      </c>
      <c r="E149" s="2">
        <v>9411.3700000000008</v>
      </c>
      <c r="F149" s="2">
        <v>391.39</v>
      </c>
      <c r="G149" s="2">
        <v>1316.16</v>
      </c>
      <c r="H149" s="2">
        <v>648.78</v>
      </c>
      <c r="I149" s="2">
        <v>343.98</v>
      </c>
      <c r="J149" s="2">
        <v>1331.63</v>
      </c>
      <c r="K149" s="2">
        <v>114.65</v>
      </c>
      <c r="L149" s="2">
        <v>73.430000000000007</v>
      </c>
      <c r="M149" s="2">
        <v>1313.83</v>
      </c>
      <c r="N149" s="2">
        <v>700</v>
      </c>
      <c r="O149" s="2">
        <v>250</v>
      </c>
      <c r="P149" s="9"/>
      <c r="Q149" s="2">
        <f>SUM(OSRRefD21_2_0x)+IFERROR(SUM(OSRRefE21_2_0x),0)</f>
        <v>18486.05</v>
      </c>
    </row>
    <row r="150" spans="1:17" s="34" customFormat="1" collapsed="1" x14ac:dyDescent="0.25">
      <c r="A150" s="35"/>
      <c r="B150" s="11" t="str">
        <f>CONCATENATE("     ","Bad Debts/Over/Short                              ")</f>
        <v xml:space="preserve">     Bad Debts/Over/Short                              </v>
      </c>
      <c r="C150" s="11"/>
      <c r="D150" s="1">
        <f>SUM(OSRRefD21_3x_0)</f>
        <v>4.9800000000000004</v>
      </c>
      <c r="E150" s="1">
        <f>SUM(OSRRefD21_3x_1)</f>
        <v>70.56</v>
      </c>
      <c r="F150" s="1">
        <f>SUM(OSRRefD21_3x_2)</f>
        <v>7.78</v>
      </c>
      <c r="G150" s="1">
        <f>SUM(OSRRefD21_3x_3)</f>
        <v>-29.45</v>
      </c>
      <c r="H150" s="1">
        <f>SUM(OSRRefD21_3x_4)</f>
        <v>0.74</v>
      </c>
      <c r="I150" s="1">
        <f>SUM(OSRRefD21_3x_5)</f>
        <v>-5.34</v>
      </c>
      <c r="J150" s="1">
        <f>SUM(OSRRefD21_3x_6)</f>
        <v>1872.1</v>
      </c>
      <c r="K150" s="1">
        <f>SUM(OSRRefD21_3x_7)</f>
        <v>3282.4</v>
      </c>
      <c r="L150" s="1">
        <f>SUM(OSRRefD21_3x_8)</f>
        <v>-16.510000000000002</v>
      </c>
      <c r="M150" s="1">
        <f>SUM(OSRRefD21_3x_9)</f>
        <v>-1.25</v>
      </c>
      <c r="N150" s="1">
        <f>SUM(OSRRefE21_3x_0)</f>
        <v>95</v>
      </c>
      <c r="O150" s="1">
        <f>SUM(OSRRefE21_3x_1)</f>
        <v>95</v>
      </c>
      <c r="Q150" s="2">
        <f>SUM(OSRRefD20_3x)+IFERROR(SUM(OSRRefE20_3x),0)</f>
        <v>5376.01</v>
      </c>
    </row>
    <row r="151" spans="1:17" s="34" customFormat="1" hidden="1" outlineLevel="1" x14ac:dyDescent="0.25">
      <c r="A151" s="35"/>
      <c r="B151" s="10" t="str">
        <f>CONCATENATE("          ","6272", " - ","CASH (OVER/SHORT)")</f>
        <v xml:space="preserve">          6272 - CASH (OVER/SHORT)</v>
      </c>
      <c r="C151" s="11"/>
      <c r="D151" s="2">
        <v>4.9800000000000004</v>
      </c>
      <c r="E151" s="2">
        <v>70.56</v>
      </c>
      <c r="F151" s="2">
        <v>7.78</v>
      </c>
      <c r="G151" s="2">
        <v>-29.45</v>
      </c>
      <c r="H151" s="2">
        <v>0.74</v>
      </c>
      <c r="I151" s="2">
        <v>-5.34</v>
      </c>
      <c r="J151" s="2">
        <v>-124.68</v>
      </c>
      <c r="K151" s="2">
        <v>-70.239999999999995</v>
      </c>
      <c r="L151" s="2">
        <v>-16.510000000000002</v>
      </c>
      <c r="M151" s="2">
        <v>-1.25</v>
      </c>
      <c r="N151" s="2">
        <v>65</v>
      </c>
      <c r="O151" s="2">
        <v>65</v>
      </c>
      <c r="P151" s="9"/>
      <c r="Q151" s="2">
        <f>SUM(OSRRefD21_3_0x)+IFERROR(SUM(OSRRefE21_3_0x),0)</f>
        <v>-33.409999999999968</v>
      </c>
    </row>
    <row r="152" spans="1:17" s="34" customFormat="1" hidden="1" outlineLevel="1" x14ac:dyDescent="0.25">
      <c r="A152" s="35"/>
      <c r="B152" s="10" t="str">
        <f>CONCATENATE("          ","6342", " - ","BAD DEBT")</f>
        <v xml:space="preserve">          6342 - BAD DEBT</v>
      </c>
      <c r="C152" s="11"/>
      <c r="D152" s="2"/>
      <c r="E152" s="2"/>
      <c r="F152" s="2"/>
      <c r="G152" s="2"/>
      <c r="H152" s="2"/>
      <c r="I152" s="2"/>
      <c r="J152" s="2">
        <v>1996.78</v>
      </c>
      <c r="K152" s="2">
        <v>3352.64</v>
      </c>
      <c r="L152" s="2"/>
      <c r="M152" s="2"/>
      <c r="N152" s="2">
        <v>30</v>
      </c>
      <c r="O152" s="2">
        <v>30</v>
      </c>
      <c r="P152" s="9"/>
      <c r="Q152" s="2">
        <f>SUM(OSRRefD21_3_1x)+IFERROR(SUM(OSRRefE21_3_1x),0)</f>
        <v>5409.42</v>
      </c>
    </row>
    <row r="153" spans="1:17" s="34" customFormat="1" collapsed="1" x14ac:dyDescent="0.25">
      <c r="A153" s="35"/>
      <c r="B153" s="11" t="str">
        <f>CONCATENATE("     ","Bank/card Fees                                    ")</f>
        <v xml:space="preserve">     Bank/card Fees                                    </v>
      </c>
      <c r="C153" s="11"/>
      <c r="D153" s="1">
        <f>SUM(OSRRefD21_4x_0)</f>
        <v>3177.21</v>
      </c>
      <c r="E153" s="1">
        <f>SUM(OSRRefD21_4x_1)</f>
        <v>22140.34</v>
      </c>
      <c r="F153" s="1">
        <f>SUM(OSRRefD21_4x_2)</f>
        <v>9160.4</v>
      </c>
      <c r="G153" s="1">
        <f>SUM(OSRRefD21_4x_3)</f>
        <v>5096.04</v>
      </c>
      <c r="H153" s="1">
        <f>SUM(OSRRefD21_4x_4)</f>
        <v>2647.72</v>
      </c>
      <c r="I153" s="1">
        <f>SUM(OSRRefD21_4x_5)</f>
        <v>5488.4</v>
      </c>
      <c r="J153" s="1">
        <f>SUM(OSRRefD21_4x_6)</f>
        <v>15172.83</v>
      </c>
      <c r="K153" s="1">
        <f>SUM(OSRRefD21_4x_7)</f>
        <v>3981.37</v>
      </c>
      <c r="L153" s="1">
        <f>SUM(OSRRefD21_4x_8)</f>
        <v>4048.88</v>
      </c>
      <c r="M153" s="1">
        <f>SUM(OSRRefD21_4x_9)</f>
        <v>6047.39</v>
      </c>
      <c r="N153" s="1">
        <f>SUM(OSRRefE21_4x_0)</f>
        <v>4563</v>
      </c>
      <c r="O153" s="1">
        <f>SUM(OSRRefE21_4x_1)</f>
        <v>913</v>
      </c>
      <c r="Q153" s="2">
        <f>SUM(OSRRefD20_4x)+IFERROR(SUM(OSRRefE20_4x),0)</f>
        <v>82436.58</v>
      </c>
    </row>
    <row r="154" spans="1:17" s="34" customFormat="1" hidden="1" outlineLevel="1" x14ac:dyDescent="0.25">
      <c r="A154" s="35"/>
      <c r="B154" s="10" t="str">
        <f>CONCATENATE("          ","6381", " - ","BANK/CREDIT CARD FEES")</f>
        <v xml:space="preserve">          6381 - BANK/CREDIT CARD FEES</v>
      </c>
      <c r="C154" s="11"/>
      <c r="D154" s="2">
        <v>3177.21</v>
      </c>
      <c r="E154" s="2">
        <v>22140.34</v>
      </c>
      <c r="F154" s="2">
        <v>9160.4</v>
      </c>
      <c r="G154" s="2">
        <v>5096.04</v>
      </c>
      <c r="H154" s="2">
        <v>2647.72</v>
      </c>
      <c r="I154" s="2">
        <v>5488.4</v>
      </c>
      <c r="J154" s="2">
        <v>15172.83</v>
      </c>
      <c r="K154" s="2">
        <v>3981.37</v>
      </c>
      <c r="L154" s="2">
        <v>4048.88</v>
      </c>
      <c r="M154" s="2">
        <v>6047.39</v>
      </c>
      <c r="N154" s="2">
        <v>4563</v>
      </c>
      <c r="O154" s="2">
        <v>913</v>
      </c>
      <c r="P154" s="9"/>
      <c r="Q154" s="2">
        <f>SUM(OSRRefD21_4_0x)+IFERROR(SUM(OSRRefE21_4_0x),0)</f>
        <v>82436.58</v>
      </c>
    </row>
    <row r="155" spans="1:17" s="34" customFormat="1" collapsed="1" x14ac:dyDescent="0.25">
      <c r="A155" s="35"/>
      <c r="B155" s="11" t="str">
        <f>CONCATENATE("     ","Depreciation                                      ")</f>
        <v xml:space="preserve">     Depreciation                                      </v>
      </c>
      <c r="C155" s="11"/>
      <c r="D155" s="1">
        <f>SUM(OSRRefD21_5x_0)</f>
        <v>39337.589999999997</v>
      </c>
      <c r="E155" s="1">
        <f>SUM(OSRRefD21_5x_1)</f>
        <v>40361.32</v>
      </c>
      <c r="F155" s="1">
        <f>SUM(OSRRefD21_5x_2)</f>
        <v>40330.31</v>
      </c>
      <c r="G155" s="1">
        <f>SUM(OSRRefD21_5x_3)</f>
        <v>39999.31</v>
      </c>
      <c r="H155" s="1">
        <f>SUM(OSRRefD21_5x_4)</f>
        <v>39887.94</v>
      </c>
      <c r="I155" s="1">
        <f>SUM(OSRRefD21_5x_5)</f>
        <v>39887.94</v>
      </c>
      <c r="J155" s="1">
        <f>SUM(OSRRefD21_5x_6)</f>
        <v>39887.94</v>
      </c>
      <c r="K155" s="1">
        <f>SUM(OSRRefD21_5x_7)</f>
        <v>39887.94</v>
      </c>
      <c r="L155" s="1">
        <f>SUM(OSRRefD21_5x_8)</f>
        <v>39887.94</v>
      </c>
      <c r="M155" s="1">
        <f>SUM(OSRRefD21_5x_9)</f>
        <v>39887.94</v>
      </c>
      <c r="N155" s="1">
        <f>SUM(OSRRefE21_5x_0)</f>
        <v>38857</v>
      </c>
      <c r="O155" s="1">
        <f>SUM(OSRRefE21_5x_1)</f>
        <v>38440</v>
      </c>
      <c r="Q155" s="2">
        <f>SUM(OSRRefD20_5x)+IFERROR(SUM(OSRRefE20_5x),0)</f>
        <v>476653.17</v>
      </c>
    </row>
    <row r="156" spans="1:17" s="34" customFormat="1" hidden="1" outlineLevel="1" x14ac:dyDescent="0.25">
      <c r="A156" s="35"/>
      <c r="B156" s="10" t="str">
        <f>CONCATENATE("          ","6321", " - ","BUILDING DEPRECIATION")</f>
        <v xml:space="preserve">          6321 - BUILDING DEPRECIATION</v>
      </c>
      <c r="C156" s="11"/>
      <c r="D156" s="2">
        <v>21477.03</v>
      </c>
      <c r="E156" s="2">
        <v>21477.03</v>
      </c>
      <c r="F156" s="2">
        <v>21477.03</v>
      </c>
      <c r="G156" s="2">
        <v>21477.03</v>
      </c>
      <c r="H156" s="2">
        <v>21477.03</v>
      </c>
      <c r="I156" s="2">
        <v>21477.03</v>
      </c>
      <c r="J156" s="2">
        <v>21477.03</v>
      </c>
      <c r="K156" s="2">
        <v>21477.03</v>
      </c>
      <c r="L156" s="2">
        <v>21477.03</v>
      </c>
      <c r="M156" s="2">
        <v>21477.03</v>
      </c>
      <c r="N156" s="2"/>
      <c r="O156" s="2"/>
      <c r="P156" s="9"/>
      <c r="Q156" s="2">
        <f>SUM(OSRRefD21_5_0x)+IFERROR(SUM(OSRRefE21_5_0x),0)</f>
        <v>214770.3</v>
      </c>
    </row>
    <row r="157" spans="1:17" s="34" customFormat="1" hidden="1" outlineLevel="1" x14ac:dyDescent="0.25">
      <c r="A157" s="35"/>
      <c r="B157" s="10" t="str">
        <f>CONCATENATE("          ","6322", " - ","EQUIPMENT DEPRECIATION EXPENSE")</f>
        <v xml:space="preserve">          6322 - EQUIPMENT DEPRECIATION EXPENSE</v>
      </c>
      <c r="C157" s="11"/>
      <c r="D157" s="2">
        <v>17860.560000000001</v>
      </c>
      <c r="E157" s="2">
        <v>18884.29</v>
      </c>
      <c r="F157" s="2">
        <v>18853.28</v>
      </c>
      <c r="G157" s="2">
        <v>18522.28</v>
      </c>
      <c r="H157" s="2">
        <v>18410.91</v>
      </c>
      <c r="I157" s="2">
        <v>18410.91</v>
      </c>
      <c r="J157" s="2">
        <v>18410.91</v>
      </c>
      <c r="K157" s="2">
        <v>18410.91</v>
      </c>
      <c r="L157" s="2">
        <v>18410.91</v>
      </c>
      <c r="M157" s="2">
        <v>18410.91</v>
      </c>
      <c r="N157" s="2">
        <v>38857</v>
      </c>
      <c r="O157" s="2">
        <v>38440</v>
      </c>
      <c r="P157" s="9"/>
      <c r="Q157" s="2">
        <f>SUM(OSRRefD21_5_1x)+IFERROR(SUM(OSRRefE21_5_1x),0)</f>
        <v>261882.87000000002</v>
      </c>
    </row>
    <row r="158" spans="1:17" s="34" customFormat="1" collapsed="1" x14ac:dyDescent="0.25">
      <c r="A158" s="35"/>
      <c r="B158" s="11" t="str">
        <f>CONCATENATE("     ","Discounts and Markdowns                           ")</f>
        <v xml:space="preserve">     Discounts and Markdowns                           </v>
      </c>
      <c r="C158" s="11"/>
      <c r="D158" s="1">
        <f>SUM(OSRRefD21_6x_0)</f>
        <v>0</v>
      </c>
      <c r="E158" s="1">
        <f>SUM(OSRRefD21_6x_1)</f>
        <v>0</v>
      </c>
      <c r="F158" s="1">
        <f>SUM(OSRRefD21_6x_2)</f>
        <v>830.95</v>
      </c>
      <c r="G158" s="1">
        <f>SUM(OSRRefD21_6x_3)</f>
        <v>-1249.8000000000002</v>
      </c>
      <c r="H158" s="1">
        <f>SUM(OSRRefD21_6x_4)</f>
        <v>418.85</v>
      </c>
      <c r="I158" s="1">
        <f>SUM(OSRRefD21_6x_5)</f>
        <v>0</v>
      </c>
      <c r="J158" s="1">
        <f>SUM(OSRRefD21_6x_6)</f>
        <v>-42.86</v>
      </c>
      <c r="K158" s="1">
        <f>SUM(OSRRefD21_6x_7)</f>
        <v>42.86</v>
      </c>
      <c r="L158" s="1">
        <f>SUM(OSRRefD21_6x_8)</f>
        <v>0</v>
      </c>
      <c r="M158" s="1">
        <f>SUM(OSRRefD21_6x_9)</f>
        <v>-15.43</v>
      </c>
      <c r="N158" s="1">
        <f>SUM(OSRRefE21_6x_0)</f>
        <v>1250</v>
      </c>
      <c r="O158" s="1">
        <f>SUM(OSRRefE21_6x_1)</f>
        <v>1250</v>
      </c>
      <c r="Q158" s="2">
        <f>SUM(OSRRefD20_6x)+IFERROR(SUM(OSRRefE20_6x),0)</f>
        <v>2484.5699999999997</v>
      </c>
    </row>
    <row r="159" spans="1:17" s="34" customFormat="1" hidden="1" outlineLevel="1" x14ac:dyDescent="0.25">
      <c r="A159" s="35"/>
      <c r="B159" s="10" t="str">
        <f>CONCATENATE("          ","6382", " - ","DISCOUNTS/MARK DOWNS")</f>
        <v xml:space="preserve">          6382 - DISCOUNTS/MARK DOWNS</v>
      </c>
      <c r="C159" s="11"/>
      <c r="D159" s="2">
        <v>0</v>
      </c>
      <c r="E159" s="2">
        <v>0</v>
      </c>
      <c r="F159" s="2">
        <v>830.95</v>
      </c>
      <c r="G159" s="2">
        <v>-830.95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1250</v>
      </c>
      <c r="O159" s="2">
        <v>1250</v>
      </c>
      <c r="P159" s="9"/>
      <c r="Q159" s="2">
        <f>SUM(OSRRefD21_6_0x)+IFERROR(SUM(OSRRefE21_6_0x),0)</f>
        <v>2500</v>
      </c>
    </row>
    <row r="160" spans="1:17" s="34" customFormat="1" hidden="1" outlineLevel="1" x14ac:dyDescent="0.25">
      <c r="A160" s="35"/>
      <c r="B160" s="10" t="str">
        <f>CONCATENATE("          ","9175", " - ","EARNED DISCOUNTS")</f>
        <v xml:space="preserve">          9175 - EARNED DISCOUNTS</v>
      </c>
      <c r="C160" s="11"/>
      <c r="D160" s="2"/>
      <c r="E160" s="2"/>
      <c r="F160" s="2"/>
      <c r="G160" s="2">
        <v>-418.85</v>
      </c>
      <c r="H160" s="2">
        <v>418.85</v>
      </c>
      <c r="I160" s="2"/>
      <c r="J160" s="2">
        <v>-42.86</v>
      </c>
      <c r="K160" s="2">
        <v>42.86</v>
      </c>
      <c r="L160" s="2">
        <v>0</v>
      </c>
      <c r="M160" s="2">
        <v>-15.43</v>
      </c>
      <c r="N160" s="2"/>
      <c r="O160" s="2"/>
      <c r="P160" s="9"/>
      <c r="Q160" s="2">
        <f>SUM(OSRRefD21_6_1x)+IFERROR(SUM(OSRRefE21_6_1x),0)</f>
        <v>-15.43</v>
      </c>
    </row>
    <row r="161" spans="1:17" s="34" customFormat="1" collapsed="1" x14ac:dyDescent="0.25">
      <c r="A161" s="35"/>
      <c r="B161" s="11" t="str">
        <f>CONCATENATE("     ","Donations                                         ")</f>
        <v xml:space="preserve">     Donations                                         </v>
      </c>
      <c r="C161" s="11"/>
      <c r="D161" s="1">
        <f>SUM(OSRRefD21_7x_0)</f>
        <v>0</v>
      </c>
      <c r="E161" s="1">
        <f>SUM(OSRRefD21_7x_1)</f>
        <v>0</v>
      </c>
      <c r="F161" s="1">
        <f>SUM(OSRRefD21_7x_2)</f>
        <v>0</v>
      </c>
      <c r="G161" s="1">
        <f>SUM(OSRRefD21_7x_3)</f>
        <v>0</v>
      </c>
      <c r="H161" s="1">
        <f>SUM(OSRRefD21_7x_4)</f>
        <v>0</v>
      </c>
      <c r="I161" s="1">
        <f>SUM(OSRRefD21_7x_5)</f>
        <v>0</v>
      </c>
      <c r="J161" s="1">
        <f>SUM(OSRRefD21_7x_6)</f>
        <v>0</v>
      </c>
      <c r="K161" s="1">
        <f>SUM(OSRRefD21_7x_7)</f>
        <v>0</v>
      </c>
      <c r="L161" s="1">
        <f>SUM(OSRRefD21_7x_8)</f>
        <v>0</v>
      </c>
      <c r="M161" s="1">
        <f>SUM(OSRRefD21_7x_9)</f>
        <v>360.9</v>
      </c>
      <c r="N161" s="1">
        <f>SUM(OSRRefE21_7x_0)</f>
        <v>0</v>
      </c>
      <c r="O161" s="1">
        <f>SUM(OSRRefE21_7x_1)</f>
        <v>0</v>
      </c>
      <c r="Q161" s="2">
        <f>SUM(OSRRefD20_7x)+IFERROR(SUM(OSRRefE20_7x),0)</f>
        <v>360.9</v>
      </c>
    </row>
    <row r="162" spans="1:17" s="34" customFormat="1" hidden="1" outlineLevel="1" x14ac:dyDescent="0.25">
      <c r="A162" s="35"/>
      <c r="B162" s="10" t="str">
        <f>CONCATENATE("          ","6399", " - ","DONATION-ON CAMPUS")</f>
        <v xml:space="preserve">          6399 - DONATION-ON CAMPUS</v>
      </c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>
        <v>360.9</v>
      </c>
      <c r="N162" s="2">
        <v>0</v>
      </c>
      <c r="O162" s="2">
        <v>0</v>
      </c>
      <c r="P162" s="9"/>
      <c r="Q162" s="2">
        <f>SUM(OSRRefD21_7_0x)+IFERROR(SUM(OSRRefE21_7_0x),0)</f>
        <v>360.9</v>
      </c>
    </row>
    <row r="163" spans="1:17" s="34" customFormat="1" collapsed="1" x14ac:dyDescent="0.25">
      <c r="A163" s="35"/>
      <c r="B163" s="11" t="str">
        <f>CONCATENATE("     ","Employees' Appreciation                           ")</f>
        <v xml:space="preserve">     Employees' Appreciation                           </v>
      </c>
      <c r="C163" s="11"/>
      <c r="D163" s="1">
        <f>SUM(OSRRefD21_8x_0)</f>
        <v>107.7</v>
      </c>
      <c r="E163" s="1">
        <f>SUM(OSRRefD21_8x_1)</f>
        <v>0</v>
      </c>
      <c r="F163" s="1">
        <f>SUM(OSRRefD21_8x_2)</f>
        <v>0</v>
      </c>
      <c r="G163" s="1">
        <f>SUM(OSRRefD21_8x_3)</f>
        <v>0</v>
      </c>
      <c r="H163" s="1">
        <f>SUM(OSRRefD21_8x_4)</f>
        <v>0</v>
      </c>
      <c r="I163" s="1">
        <f>SUM(OSRRefD21_8x_5)</f>
        <v>0</v>
      </c>
      <c r="J163" s="1">
        <f>SUM(OSRRefD21_8x_6)</f>
        <v>78.33</v>
      </c>
      <c r="K163" s="1">
        <f>SUM(OSRRefD21_8x_7)</f>
        <v>0</v>
      </c>
      <c r="L163" s="1">
        <f>SUM(OSRRefD21_8x_8)</f>
        <v>0</v>
      </c>
      <c r="M163" s="1">
        <f>SUM(OSRRefD21_8x_9)</f>
        <v>0</v>
      </c>
      <c r="N163" s="1">
        <f>SUM(OSRRefE21_8x_0)</f>
        <v>250</v>
      </c>
      <c r="O163" s="1">
        <f>SUM(OSRRefE21_8x_1)</f>
        <v>250</v>
      </c>
      <c r="Q163" s="2">
        <f>SUM(OSRRefD20_8x)+IFERROR(SUM(OSRRefE20_8x),0)</f>
        <v>686.03</v>
      </c>
    </row>
    <row r="164" spans="1:17" s="34" customFormat="1" hidden="1" outlineLevel="1" x14ac:dyDescent="0.25">
      <c r="A164" s="35"/>
      <c r="B164" s="10" t="str">
        <f>CONCATENATE("          ","6277", " - ","EMPLOYEE APPRECIATION")</f>
        <v xml:space="preserve">          6277 - EMPLOYEE APPRECIATION</v>
      </c>
      <c r="C164" s="11"/>
      <c r="D164" s="2">
        <v>107.7</v>
      </c>
      <c r="E164" s="2"/>
      <c r="F164" s="2"/>
      <c r="G164" s="2"/>
      <c r="H164" s="2"/>
      <c r="I164" s="2"/>
      <c r="J164" s="2">
        <v>78.33</v>
      </c>
      <c r="K164" s="2">
        <v>0</v>
      </c>
      <c r="L164" s="2"/>
      <c r="M164" s="2"/>
      <c r="N164" s="2">
        <v>250</v>
      </c>
      <c r="O164" s="2">
        <v>250</v>
      </c>
      <c r="P164" s="9"/>
      <c r="Q164" s="2">
        <f>SUM(OSRRefD21_8_0x)+IFERROR(SUM(OSRRefE21_8_0x),0)</f>
        <v>686.03</v>
      </c>
    </row>
    <row r="165" spans="1:17" s="34" customFormat="1" collapsed="1" x14ac:dyDescent="0.25">
      <c r="A165" s="35"/>
      <c r="B165" s="11" t="str">
        <f>CONCATENATE("     ","Equipment Rental                                  ")</f>
        <v xml:space="preserve">     Equipment Rental                                  </v>
      </c>
      <c r="C165" s="11"/>
      <c r="D165" s="1">
        <f>SUM(OSRRefD21_9x_0)</f>
        <v>1388.16</v>
      </c>
      <c r="E165" s="1">
        <f>SUM(OSRRefD21_9x_1)</f>
        <v>1388.16</v>
      </c>
      <c r="F165" s="1">
        <f>SUM(OSRRefD21_9x_2)</f>
        <v>1712.05</v>
      </c>
      <c r="G165" s="1">
        <f>SUM(OSRRefD21_9x_3)</f>
        <v>1479.42</v>
      </c>
      <c r="H165" s="1">
        <f>SUM(OSRRefD21_9x_4)</f>
        <v>1712.05</v>
      </c>
      <c r="I165" s="1">
        <f>SUM(OSRRefD21_9x_5)</f>
        <v>1385.05</v>
      </c>
      <c r="J165" s="1">
        <f>SUM(OSRRefD21_9x_6)</f>
        <v>1564.56</v>
      </c>
      <c r="K165" s="1">
        <f>SUM(OSRRefD21_9x_7)</f>
        <v>1960.61</v>
      </c>
      <c r="L165" s="1">
        <f>SUM(OSRRefD21_9x_8)</f>
        <v>1296.9000000000001</v>
      </c>
      <c r="M165" s="1">
        <f>SUM(OSRRefD21_9x_9)</f>
        <v>1564.56</v>
      </c>
      <c r="N165" s="1">
        <f>SUM(OSRRefE21_9x_0)</f>
        <v>2152</v>
      </c>
      <c r="O165" s="1">
        <f>SUM(OSRRefE21_9x_1)</f>
        <v>2152</v>
      </c>
      <c r="Q165" s="2">
        <f>SUM(OSRRefD20_9x)+IFERROR(SUM(OSRRefE20_9x),0)</f>
        <v>19755.519999999997</v>
      </c>
    </row>
    <row r="166" spans="1:17" s="34" customFormat="1" hidden="1" outlineLevel="1" x14ac:dyDescent="0.25">
      <c r="A166" s="35"/>
      <c r="B166" s="10" t="str">
        <f>CONCATENATE("          ","6351", " - ","EQUIPMENT RENTAL")</f>
        <v xml:space="preserve">          6351 - EQUIPMENT RENTAL</v>
      </c>
      <c r="C166" s="11"/>
      <c r="D166" s="2">
        <v>1388.16</v>
      </c>
      <c r="E166" s="2">
        <v>1388.16</v>
      </c>
      <c r="F166" s="2">
        <v>1712.05</v>
      </c>
      <c r="G166" s="2">
        <v>1479.42</v>
      </c>
      <c r="H166" s="2">
        <v>1712.05</v>
      </c>
      <c r="I166" s="2">
        <v>1385.05</v>
      </c>
      <c r="J166" s="2">
        <v>1564.56</v>
      </c>
      <c r="K166" s="2">
        <v>1960.61</v>
      </c>
      <c r="L166" s="2">
        <v>1296.9000000000001</v>
      </c>
      <c r="M166" s="2">
        <v>1564.56</v>
      </c>
      <c r="N166" s="2">
        <v>2152</v>
      </c>
      <c r="O166" s="2">
        <v>2152</v>
      </c>
      <c r="P166" s="9"/>
      <c r="Q166" s="2">
        <f>SUM(OSRRefD21_9_0x)+IFERROR(SUM(OSRRefE21_9_0x),0)</f>
        <v>19755.519999999997</v>
      </c>
    </row>
    <row r="167" spans="1:17" s="34" customFormat="1" collapsed="1" x14ac:dyDescent="0.25">
      <c r="A167" s="35"/>
      <c r="B167" s="11" t="str">
        <f>CONCATENATE("     ","Freight out/Postage                               ")</f>
        <v xml:space="preserve">     Freight out/Postage                               </v>
      </c>
      <c r="C167" s="11"/>
      <c r="D167" s="1">
        <f>SUM(OSRRefD21_10x_0)</f>
        <v>8928.65</v>
      </c>
      <c r="E167" s="1">
        <f>SUM(OSRRefD21_10x_1)</f>
        <v>-83736.579999999987</v>
      </c>
      <c r="F167" s="1">
        <f>SUM(OSRRefD21_10x_2)</f>
        <v>-5933.58</v>
      </c>
      <c r="G167" s="1">
        <f>SUM(OSRRefD21_10x_3)</f>
        <v>48993.59</v>
      </c>
      <c r="H167" s="1">
        <f>SUM(OSRRefD21_10x_4)</f>
        <v>12498.470000000001</v>
      </c>
      <c r="I167" s="1">
        <f>SUM(OSRRefD21_10x_5)</f>
        <v>4309.8500000000004</v>
      </c>
      <c r="J167" s="1">
        <f>SUM(OSRRefD21_10x_6)</f>
        <v>-21762.36</v>
      </c>
      <c r="K167" s="1">
        <f>SUM(OSRRefD21_10x_7)</f>
        <v>4255.9500000000007</v>
      </c>
      <c r="L167" s="1">
        <f>SUM(OSRRefD21_10x_8)</f>
        <v>-1810.8199999999997</v>
      </c>
      <c r="M167" s="1">
        <f>SUM(OSRRefD21_10x_9)</f>
        <v>-12484.620000000003</v>
      </c>
      <c r="N167" s="1">
        <f>SUM(OSRRefE21_10x_0)</f>
        <v>-1715</v>
      </c>
      <c r="O167" s="1">
        <f>SUM(OSRRefE21_10x_1)</f>
        <v>35</v>
      </c>
      <c r="Q167" s="2">
        <f>SUM(OSRRefD20_10x)+IFERROR(SUM(OSRRefE20_10x),0)</f>
        <v>-48421.450000000004</v>
      </c>
    </row>
    <row r="168" spans="1:17" s="34" customFormat="1" hidden="1" outlineLevel="1" x14ac:dyDescent="0.25">
      <c r="A168" s="35"/>
      <c r="B168" s="10" t="str">
        <f>CONCATENATE("          ","6305", " - ","FREIGHT OUT")</f>
        <v xml:space="preserve">          6305 - FREIGHT OUT</v>
      </c>
      <c r="C168" s="11"/>
      <c r="D168" s="2">
        <v>12089.09</v>
      </c>
      <c r="E168" s="2">
        <v>8244.4599999999991</v>
      </c>
      <c r="F168" s="2">
        <v>5334.51</v>
      </c>
      <c r="G168" s="2">
        <v>60680.11</v>
      </c>
      <c r="H168" s="2">
        <v>16818.18</v>
      </c>
      <c r="I168" s="2">
        <v>13716.42</v>
      </c>
      <c r="J168" s="2">
        <v>18723.86</v>
      </c>
      <c r="K168" s="2">
        <v>26268.48</v>
      </c>
      <c r="L168" s="2">
        <v>17608.5</v>
      </c>
      <c r="M168" s="2">
        <v>22697.32</v>
      </c>
      <c r="N168" s="2">
        <v>3250</v>
      </c>
      <c r="O168" s="2">
        <v>2000</v>
      </c>
      <c r="P168" s="9"/>
      <c r="Q168" s="2">
        <f>SUM(OSRRefD21_10_0x)+IFERROR(SUM(OSRRefE21_10_0x),0)</f>
        <v>207430.93000000002</v>
      </c>
    </row>
    <row r="169" spans="1:17" s="34" customFormat="1" hidden="1" outlineLevel="1" x14ac:dyDescent="0.25">
      <c r="A169" s="35"/>
      <c r="B169" s="10" t="str">
        <f>CONCATENATE("          ","6307", " - ","POSTAGE")</f>
        <v xml:space="preserve">          6307 - POSTAGE</v>
      </c>
      <c r="C169" s="11"/>
      <c r="D169" s="2">
        <v>-3160.44</v>
      </c>
      <c r="E169" s="2">
        <v>-91981.04</v>
      </c>
      <c r="F169" s="2">
        <v>-11268.09</v>
      </c>
      <c r="G169" s="2">
        <v>-11686.52</v>
      </c>
      <c r="H169" s="2">
        <v>-4319.71</v>
      </c>
      <c r="I169" s="2">
        <v>-9406.57</v>
      </c>
      <c r="J169" s="2">
        <v>-40486.22</v>
      </c>
      <c r="K169" s="2">
        <v>-22012.53</v>
      </c>
      <c r="L169" s="2">
        <v>-19419.32</v>
      </c>
      <c r="M169" s="2">
        <v>-35181.94</v>
      </c>
      <c r="N169" s="2">
        <v>-4965</v>
      </c>
      <c r="O169" s="2">
        <v>-1965</v>
      </c>
      <c r="P169" s="9"/>
      <c r="Q169" s="2">
        <f>SUM(OSRRefD21_10_1x)+IFERROR(SUM(OSRRefE21_10_1x),0)</f>
        <v>-255852.38</v>
      </c>
    </row>
    <row r="170" spans="1:17" s="34" customFormat="1" collapsed="1" x14ac:dyDescent="0.25">
      <c r="A170" s="35"/>
      <c r="B170" s="11" t="str">
        <f>CONCATENATE("     ","General                                           ")</f>
        <v xml:space="preserve">     General                                           </v>
      </c>
      <c r="C170" s="11"/>
      <c r="D170" s="1">
        <f>SUM(OSRRefD21_11x_0)</f>
        <v>-1810.99</v>
      </c>
      <c r="E170" s="1">
        <f>SUM(OSRRefD21_11x_1)</f>
        <v>113.26</v>
      </c>
      <c r="F170" s="1">
        <f>SUM(OSRRefD21_11x_2)</f>
        <v>0</v>
      </c>
      <c r="G170" s="1">
        <f>SUM(OSRRefD21_11x_3)</f>
        <v>-40</v>
      </c>
      <c r="H170" s="1">
        <f>SUM(OSRRefD21_11x_4)</f>
        <v>4207.7299999999996</v>
      </c>
      <c r="I170" s="1">
        <f>SUM(OSRRefD21_11x_5)</f>
        <v>3030.85</v>
      </c>
      <c r="J170" s="1">
        <f>SUM(OSRRefD21_11x_6)</f>
        <v>-198.36</v>
      </c>
      <c r="K170" s="1">
        <f>SUM(OSRRefD21_11x_7)</f>
        <v>-4.21</v>
      </c>
      <c r="L170" s="1">
        <f>SUM(OSRRefD21_11x_8)</f>
        <v>646.37</v>
      </c>
      <c r="M170" s="1">
        <f>SUM(OSRRefD21_11x_9)</f>
        <v>213.84</v>
      </c>
      <c r="N170" s="1">
        <f>SUM(OSRRefE21_11x_0)</f>
        <v>1500</v>
      </c>
      <c r="O170" s="1">
        <f>SUM(OSRRefE21_11x_1)</f>
        <v>250</v>
      </c>
      <c r="Q170" s="2">
        <f>SUM(OSRRefD20_11x)+IFERROR(SUM(OSRRefE20_11x),0)</f>
        <v>7908.49</v>
      </c>
    </row>
    <row r="171" spans="1:17" s="34" customFormat="1" hidden="1" outlineLevel="1" x14ac:dyDescent="0.25">
      <c r="A171" s="35"/>
      <c r="B171" s="10" t="str">
        <f>CONCATENATE("          ","6269", " - ","ENTERTAINMENT")</f>
        <v xml:space="preserve">          6269 - ENTERTAINMENT</v>
      </c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>
        <v>1250</v>
      </c>
      <c r="O171" s="2">
        <v>0</v>
      </c>
      <c r="P171" s="9"/>
      <c r="Q171" s="2">
        <f>SUM(OSRRefD21_11_0x)+IFERROR(SUM(OSRRefE21_11_0x),0)</f>
        <v>1250</v>
      </c>
    </row>
    <row r="172" spans="1:17" s="34" customFormat="1" hidden="1" outlineLevel="1" x14ac:dyDescent="0.25">
      <c r="A172" s="35"/>
      <c r="B172" s="10" t="str">
        <f>CONCATENATE("          ","6279", " - ","GENERAL EXPENSE")</f>
        <v xml:space="preserve">          6279 - GENERAL EXPENSE</v>
      </c>
      <c r="C172" s="11"/>
      <c r="D172" s="2">
        <v>-1810.99</v>
      </c>
      <c r="E172" s="2">
        <v>113.26</v>
      </c>
      <c r="F172" s="2"/>
      <c r="G172" s="2">
        <v>-40</v>
      </c>
      <c r="H172" s="2">
        <v>4207.7299999999996</v>
      </c>
      <c r="I172" s="2">
        <v>3030.85</v>
      </c>
      <c r="J172" s="2">
        <v>-198.36</v>
      </c>
      <c r="K172" s="2">
        <v>-4.21</v>
      </c>
      <c r="L172" s="2">
        <v>646.37</v>
      </c>
      <c r="M172" s="2">
        <v>213.84</v>
      </c>
      <c r="N172" s="2">
        <v>250</v>
      </c>
      <c r="O172" s="2">
        <v>250</v>
      </c>
      <c r="P172" s="9"/>
      <c r="Q172" s="2">
        <f>SUM(OSRRefD21_11_1x)+IFERROR(SUM(OSRRefE21_11_1x),0)</f>
        <v>6658.49</v>
      </c>
    </row>
    <row r="173" spans="1:17" s="34" customFormat="1" collapsed="1" x14ac:dyDescent="0.25">
      <c r="A173" s="35"/>
      <c r="B173" s="11" t="str">
        <f>CONCATENATE("     ","Insurance                                         ")</f>
        <v xml:space="preserve">     Insurance                                         </v>
      </c>
      <c r="C173" s="11"/>
      <c r="D173" s="1">
        <f>SUM(OSRRefD21_12x_0)</f>
        <v>4288.28</v>
      </c>
      <c r="E173" s="1">
        <f>SUM(OSRRefD21_12x_1)</f>
        <v>4288.28</v>
      </c>
      <c r="F173" s="1">
        <f>SUM(OSRRefD21_12x_2)</f>
        <v>4288.28</v>
      </c>
      <c r="G173" s="1">
        <f>SUM(OSRRefD21_12x_3)</f>
        <v>4288.28</v>
      </c>
      <c r="H173" s="1">
        <f>SUM(OSRRefD21_12x_4)</f>
        <v>4288.28</v>
      </c>
      <c r="I173" s="1">
        <f>SUM(OSRRefD21_12x_5)</f>
        <v>4288.28</v>
      </c>
      <c r="J173" s="1">
        <f>SUM(OSRRefD21_12x_6)</f>
        <v>4288.28</v>
      </c>
      <c r="K173" s="1">
        <f>SUM(OSRRefD21_12x_7)</f>
        <v>4288.28</v>
      </c>
      <c r="L173" s="1">
        <f>SUM(OSRRefD21_12x_8)</f>
        <v>4288.28</v>
      </c>
      <c r="M173" s="1">
        <f>SUM(OSRRefD21_12x_9)</f>
        <v>4288.28</v>
      </c>
      <c r="N173" s="1">
        <f>SUM(OSRRefE21_12x_0)</f>
        <v>4716</v>
      </c>
      <c r="O173" s="1">
        <f>SUM(OSRRefE21_12x_1)</f>
        <v>4716</v>
      </c>
      <c r="Q173" s="2">
        <f>SUM(OSRRefD20_12x)+IFERROR(SUM(OSRRefE20_12x),0)</f>
        <v>52314.799999999996</v>
      </c>
    </row>
    <row r="174" spans="1:17" s="34" customFormat="1" hidden="1" outlineLevel="1" x14ac:dyDescent="0.25">
      <c r="A174" s="35"/>
      <c r="B174" s="10" t="str">
        <f>CONCATENATE("          ","6314", " - ","LIABILITY INSURANCE")</f>
        <v xml:space="preserve">          6314 - LIABILITY INSURANCE</v>
      </c>
      <c r="C174" s="11"/>
      <c r="D174" s="2">
        <v>4288.28</v>
      </c>
      <c r="E174" s="2">
        <v>4288.28</v>
      </c>
      <c r="F174" s="2">
        <v>4288.28</v>
      </c>
      <c r="G174" s="2">
        <v>4288.28</v>
      </c>
      <c r="H174" s="2">
        <v>4288.28</v>
      </c>
      <c r="I174" s="2">
        <v>4288.28</v>
      </c>
      <c r="J174" s="2">
        <v>4288.28</v>
      </c>
      <c r="K174" s="2">
        <v>4288.28</v>
      </c>
      <c r="L174" s="2">
        <v>4288.28</v>
      </c>
      <c r="M174" s="2">
        <v>4288.28</v>
      </c>
      <c r="N174" s="2">
        <v>4716</v>
      </c>
      <c r="O174" s="2">
        <v>4716</v>
      </c>
      <c r="P174" s="9"/>
      <c r="Q174" s="2">
        <f>SUM(OSRRefD21_12_0x)+IFERROR(SUM(OSRRefE21_12_0x),0)</f>
        <v>52314.799999999996</v>
      </c>
    </row>
    <row r="175" spans="1:17" s="34" customFormat="1" collapsed="1" x14ac:dyDescent="0.25">
      <c r="A175" s="35"/>
      <c r="B175" s="11" t="str">
        <f>CONCATENATE("     ","Interest                                          ")</f>
        <v xml:space="preserve">     Interest                                          </v>
      </c>
      <c r="C175" s="11"/>
      <c r="D175" s="1">
        <f>SUM(OSRRefD21_13x_0)</f>
        <v>4044</v>
      </c>
      <c r="E175" s="1">
        <f>SUM(OSRRefD21_13x_1)</f>
        <v>4044</v>
      </c>
      <c r="F175" s="1">
        <f>SUM(OSRRefD21_13x_2)</f>
        <v>4044</v>
      </c>
      <c r="G175" s="1">
        <f>SUM(OSRRefD21_13x_3)</f>
        <v>3781.85</v>
      </c>
      <c r="H175" s="1">
        <f>SUM(OSRRefD21_13x_4)</f>
        <v>4044</v>
      </c>
      <c r="I175" s="1">
        <f>SUM(OSRRefD21_13x_5)</f>
        <v>4044</v>
      </c>
      <c r="J175" s="1">
        <f>SUM(OSRRefD21_13x_6)</f>
        <v>4044</v>
      </c>
      <c r="K175" s="1">
        <f>SUM(OSRRefD21_13x_7)</f>
        <v>4044</v>
      </c>
      <c r="L175" s="1">
        <f>SUM(OSRRefD21_13x_8)</f>
        <v>4044</v>
      </c>
      <c r="M175" s="1">
        <f>SUM(OSRRefD21_13x_9)</f>
        <v>3213</v>
      </c>
      <c r="N175" s="1">
        <f>SUM(OSRRefE21_13x_0)</f>
        <v>3905</v>
      </c>
      <c r="O175" s="1">
        <f>SUM(OSRRefE21_13x_1)</f>
        <v>3905</v>
      </c>
      <c r="Q175" s="2">
        <f>SUM(OSRRefD20_13x)+IFERROR(SUM(OSRRefE20_13x),0)</f>
        <v>47156.85</v>
      </c>
    </row>
    <row r="176" spans="1:17" s="34" customFormat="1" hidden="1" outlineLevel="1" x14ac:dyDescent="0.25">
      <c r="A176" s="35"/>
      <c r="B176" s="10" t="str">
        <f>CONCATENATE("          ","6401", " - ","INTEREST EXPENSE")</f>
        <v xml:space="preserve">          6401 - INTEREST EXPENSE</v>
      </c>
      <c r="C176" s="11"/>
      <c r="D176" s="2">
        <v>4044</v>
      </c>
      <c r="E176" s="2">
        <v>4044</v>
      </c>
      <c r="F176" s="2">
        <v>4044</v>
      </c>
      <c r="G176" s="2">
        <v>3781.85</v>
      </c>
      <c r="H176" s="2">
        <v>4044</v>
      </c>
      <c r="I176" s="2">
        <v>4044</v>
      </c>
      <c r="J176" s="2">
        <v>4044</v>
      </c>
      <c r="K176" s="2">
        <v>4044</v>
      </c>
      <c r="L176" s="2">
        <v>4044</v>
      </c>
      <c r="M176" s="2">
        <v>3213</v>
      </c>
      <c r="N176" s="2">
        <v>3905</v>
      </c>
      <c r="O176" s="2">
        <v>3905</v>
      </c>
      <c r="P176" s="9"/>
      <c r="Q176" s="2">
        <f>SUM(OSRRefD21_13_0x)+IFERROR(SUM(OSRRefE21_13_0x),0)</f>
        <v>47156.85</v>
      </c>
    </row>
    <row r="177" spans="1:17" s="34" customFormat="1" collapsed="1" x14ac:dyDescent="0.25">
      <c r="A177" s="35"/>
      <c r="B177" s="11" t="str">
        <f>CONCATENATE("     ","Inventory Adjustment                              ")</f>
        <v xml:space="preserve">     Inventory Adjustment                              </v>
      </c>
      <c r="C177" s="11"/>
      <c r="D177" s="1">
        <f>SUM(OSRRefD21_14x_0)</f>
        <v>2100</v>
      </c>
      <c r="E177" s="1">
        <f>SUM(OSRRefD21_14x_1)</f>
        <v>2100</v>
      </c>
      <c r="F177" s="1">
        <f>SUM(OSRRefD21_14x_2)</f>
        <v>2100</v>
      </c>
      <c r="G177" s="1">
        <f>SUM(OSRRefD21_14x_3)</f>
        <v>2100</v>
      </c>
      <c r="H177" s="1">
        <f>SUM(OSRRefD21_14x_4)</f>
        <v>2100</v>
      </c>
      <c r="I177" s="1">
        <f>SUM(OSRRefD21_14x_5)</f>
        <v>7100</v>
      </c>
      <c r="J177" s="1">
        <f>SUM(OSRRefD21_14x_6)</f>
        <v>2100</v>
      </c>
      <c r="K177" s="1">
        <f>SUM(OSRRefD21_14x_7)</f>
        <v>2100</v>
      </c>
      <c r="L177" s="1">
        <f>SUM(OSRRefD21_14x_8)</f>
        <v>2100</v>
      </c>
      <c r="M177" s="1">
        <f>SUM(OSRRefD21_14x_9)</f>
        <v>2100</v>
      </c>
      <c r="N177" s="1">
        <f>SUM(OSRRefE21_14x_0)</f>
        <v>2100</v>
      </c>
      <c r="O177" s="1">
        <f>SUM(OSRRefE21_14x_1)</f>
        <v>16100</v>
      </c>
      <c r="Q177" s="2">
        <f>SUM(OSRRefD20_14x)+IFERROR(SUM(OSRRefE20_14x),0)</f>
        <v>44200</v>
      </c>
    </row>
    <row r="178" spans="1:17" s="34" customFormat="1" hidden="1" outlineLevel="1" x14ac:dyDescent="0.25">
      <c r="A178" s="35"/>
      <c r="B178" s="10" t="str">
        <f>CONCATENATE("          ","6408", " - ","INVENTORY ADJUSTMENT")</f>
        <v xml:space="preserve">          6408 - INVENTORY ADJUSTMENT</v>
      </c>
      <c r="C178" s="11"/>
      <c r="D178" s="2">
        <v>2100</v>
      </c>
      <c r="E178" s="2">
        <v>2100</v>
      </c>
      <c r="F178" s="2">
        <v>2100</v>
      </c>
      <c r="G178" s="2">
        <v>2100</v>
      </c>
      <c r="H178" s="2">
        <v>2100</v>
      </c>
      <c r="I178" s="2">
        <v>7100</v>
      </c>
      <c r="J178" s="2">
        <v>2100</v>
      </c>
      <c r="K178" s="2">
        <v>2100</v>
      </c>
      <c r="L178" s="2">
        <v>2100</v>
      </c>
      <c r="M178" s="2">
        <v>2100</v>
      </c>
      <c r="N178" s="2">
        <v>2100</v>
      </c>
      <c r="O178" s="2">
        <v>16100</v>
      </c>
      <c r="P178" s="9"/>
      <c r="Q178" s="2">
        <f>SUM(OSRRefD21_14_0x)+IFERROR(SUM(OSRRefE21_14_0x),0)</f>
        <v>44200</v>
      </c>
    </row>
    <row r="179" spans="1:17" s="34" customFormat="1" hidden="1" outlineLevel="1" x14ac:dyDescent="0.25">
      <c r="A179" s="35"/>
      <c r="B179" s="10" t="str">
        <f>CONCATENATE("          ","7741", " - ","INV. SHRINKAGE-LOGO GIFTS")</f>
        <v xml:space="preserve">          7741 - INV. SHRINKAGE-LOGO GIFTS</v>
      </c>
      <c r="C179" s="11"/>
      <c r="D179" s="2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9"/>
      <c r="Q179" s="2">
        <f>SUM(OSRRefD21_14_1x)+IFERROR(SUM(OSRRefE21_14_1x),0)</f>
        <v>0</v>
      </c>
    </row>
    <row r="180" spans="1:17" s="34" customFormat="1" collapsed="1" x14ac:dyDescent="0.25">
      <c r="A180" s="35"/>
      <c r="B180" s="11" t="str">
        <f>CONCATENATE("     ","Professional Services                             ")</f>
        <v xml:space="preserve">     Professional Services                             </v>
      </c>
      <c r="C180" s="11"/>
      <c r="D180" s="1">
        <f>SUM(OSRRefD21_15x_0)</f>
        <v>0</v>
      </c>
      <c r="E180" s="1">
        <f>SUM(OSRRefD21_15x_1)</f>
        <v>0</v>
      </c>
      <c r="F180" s="1">
        <f>SUM(OSRRefD21_15x_2)</f>
        <v>0</v>
      </c>
      <c r="G180" s="1">
        <f>SUM(OSRRefD21_15x_3)</f>
        <v>0</v>
      </c>
      <c r="H180" s="1">
        <f>SUM(OSRRefD21_15x_4)</f>
        <v>0</v>
      </c>
      <c r="I180" s="1">
        <f>SUM(OSRRefD21_15x_5)</f>
        <v>0</v>
      </c>
      <c r="J180" s="1">
        <f>SUM(OSRRefD21_15x_6)</f>
        <v>0</v>
      </c>
      <c r="K180" s="1">
        <f>SUM(OSRRefD21_15x_7)</f>
        <v>0</v>
      </c>
      <c r="L180" s="1">
        <f>SUM(OSRRefD21_15x_8)</f>
        <v>0</v>
      </c>
      <c r="M180" s="1">
        <f>SUM(OSRRefD21_15x_9)</f>
        <v>0</v>
      </c>
      <c r="N180" s="1">
        <f>SUM(OSRRefE21_15x_0)</f>
        <v>0</v>
      </c>
      <c r="O180" s="1">
        <f>SUM(OSRRefE21_15x_1)</f>
        <v>0</v>
      </c>
      <c r="Q180" s="2">
        <f>SUM(OSRRefD20_15x)+IFERROR(SUM(OSRRefE20_15x),0)</f>
        <v>0</v>
      </c>
    </row>
    <row r="181" spans="1:17" s="34" customFormat="1" hidden="1" outlineLevel="1" x14ac:dyDescent="0.25">
      <c r="A181" s="35"/>
      <c r="B181" s="10" t="str">
        <f>CONCATENATE("          ","6336", " - ","PROFESSIONAL SERVICES")</f>
        <v xml:space="preserve">          6336 - PROFESSIONAL SERVICES</v>
      </c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>
        <v>0</v>
      </c>
      <c r="O181" s="2">
        <v>0</v>
      </c>
      <c r="P181" s="9"/>
      <c r="Q181" s="2">
        <f>SUM(OSRRefD21_15_0x)+IFERROR(SUM(OSRRefE21_15_0x),0)</f>
        <v>0</v>
      </c>
    </row>
    <row r="182" spans="1:17" s="34" customFormat="1" collapsed="1" x14ac:dyDescent="0.25">
      <c r="A182" s="35"/>
      <c r="B182" s="11" t="str">
        <f>CONCATENATE("     ","Rent                                              ")</f>
        <v xml:space="preserve">     Rent                                              </v>
      </c>
      <c r="C182" s="11"/>
      <c r="D182" s="1">
        <f>SUM(OSRRefD21_16x_0)</f>
        <v>6100</v>
      </c>
      <c r="E182" s="1">
        <f>SUM(OSRRefD21_16x_1)</f>
        <v>6100</v>
      </c>
      <c r="F182" s="1">
        <f>SUM(OSRRefD21_16x_2)</f>
        <v>6100</v>
      </c>
      <c r="G182" s="1">
        <f>SUM(OSRRefD21_16x_3)</f>
        <v>6100</v>
      </c>
      <c r="H182" s="1">
        <f>SUM(OSRRefD21_16x_4)</f>
        <v>6100</v>
      </c>
      <c r="I182" s="1">
        <f>SUM(OSRRefD21_16x_5)</f>
        <v>6100</v>
      </c>
      <c r="J182" s="1">
        <f>SUM(OSRRefD21_16x_6)</f>
        <v>6100</v>
      </c>
      <c r="K182" s="1">
        <f>SUM(OSRRefD21_16x_7)</f>
        <v>6100</v>
      </c>
      <c r="L182" s="1">
        <f>SUM(OSRRefD21_16x_8)</f>
        <v>6100</v>
      </c>
      <c r="M182" s="1">
        <f>SUM(OSRRefD21_16x_9)</f>
        <v>6100</v>
      </c>
      <c r="N182" s="1">
        <f>SUM(OSRRefE21_16x_0)</f>
        <v>6100</v>
      </c>
      <c r="O182" s="1">
        <f>SUM(OSRRefE21_16x_1)</f>
        <v>6100</v>
      </c>
      <c r="Q182" s="2">
        <f>SUM(OSRRefD20_16x)+IFERROR(SUM(OSRRefE20_16x),0)</f>
        <v>73200</v>
      </c>
    </row>
    <row r="183" spans="1:17" s="34" customFormat="1" hidden="1" outlineLevel="1" x14ac:dyDescent="0.25">
      <c r="A183" s="35"/>
      <c r="B183" s="10" t="str">
        <f>CONCATENATE("          ","6273", " - ","RENT")</f>
        <v xml:space="preserve">          6273 - RENT</v>
      </c>
      <c r="C183" s="11"/>
      <c r="D183" s="2">
        <v>6100</v>
      </c>
      <c r="E183" s="2">
        <v>6100</v>
      </c>
      <c r="F183" s="2">
        <v>6100</v>
      </c>
      <c r="G183" s="2">
        <v>6100</v>
      </c>
      <c r="H183" s="2">
        <v>6100</v>
      </c>
      <c r="I183" s="2">
        <v>6100</v>
      </c>
      <c r="J183" s="2">
        <v>6100</v>
      </c>
      <c r="K183" s="2">
        <v>6100</v>
      </c>
      <c r="L183" s="2">
        <v>6100</v>
      </c>
      <c r="M183" s="2">
        <v>6100</v>
      </c>
      <c r="N183" s="2">
        <v>6100</v>
      </c>
      <c r="O183" s="2">
        <v>6100</v>
      </c>
      <c r="P183" s="9"/>
      <c r="Q183" s="2">
        <f>SUM(OSRRefD21_16_0x)+IFERROR(SUM(OSRRefE21_16_0x),0)</f>
        <v>73200</v>
      </c>
    </row>
    <row r="184" spans="1:17" s="34" customFormat="1" collapsed="1" x14ac:dyDescent="0.25">
      <c r="A184" s="35"/>
      <c r="B184" s="11" t="str">
        <f>CONCATENATE("     ","Repair and Maintenance                            ")</f>
        <v xml:space="preserve">     Repair and Maintenance                            </v>
      </c>
      <c r="C184" s="11"/>
      <c r="D184" s="1">
        <f>SUM(OSRRefD21_17x_0)</f>
        <v>66461.77</v>
      </c>
      <c r="E184" s="1">
        <f>SUM(OSRRefD21_17x_1)</f>
        <v>7148.7199999999993</v>
      </c>
      <c r="F184" s="1">
        <f>SUM(OSRRefD21_17x_2)</f>
        <v>13868.49</v>
      </c>
      <c r="G184" s="1">
        <f>SUM(OSRRefD21_17x_3)</f>
        <v>11574.119999999999</v>
      </c>
      <c r="H184" s="1">
        <f>SUM(OSRRefD21_17x_4)</f>
        <v>4116.45</v>
      </c>
      <c r="I184" s="1">
        <f>SUM(OSRRefD21_17x_5)</f>
        <v>8252.6200000000008</v>
      </c>
      <c r="J184" s="1">
        <f>SUM(OSRRefD21_17x_6)</f>
        <v>3697</v>
      </c>
      <c r="K184" s="1">
        <f>SUM(OSRRefD21_17x_7)</f>
        <v>16237.08</v>
      </c>
      <c r="L184" s="1">
        <f>SUM(OSRRefD21_17x_8)</f>
        <v>1899.9099999999999</v>
      </c>
      <c r="M184" s="1">
        <f>SUM(OSRRefD21_17x_9)</f>
        <v>2485.83</v>
      </c>
      <c r="N184" s="1">
        <f>SUM(OSRRefE21_17x_0)</f>
        <v>20290</v>
      </c>
      <c r="O184" s="1">
        <f>SUM(OSRRefE21_17x_1)</f>
        <v>9190</v>
      </c>
      <c r="Q184" s="2">
        <f>SUM(OSRRefD20_17x)+IFERROR(SUM(OSRRefE20_17x),0)</f>
        <v>165221.99</v>
      </c>
    </row>
    <row r="185" spans="1:17" s="34" customFormat="1" hidden="1" outlineLevel="1" x14ac:dyDescent="0.25">
      <c r="A185" s="35"/>
      <c r="B185" s="10" t="str">
        <f>CONCATENATE("          ","6371", " - ","COMPUTER SOFTWARE MAINTENANCE")</f>
        <v xml:space="preserve">          6371 - COMPUTER SOFTWARE MAINTENANCE</v>
      </c>
      <c r="C185" s="11"/>
      <c r="D185" s="2">
        <v>58428.78</v>
      </c>
      <c r="E185" s="2"/>
      <c r="F185" s="2"/>
      <c r="G185" s="2">
        <v>7.69</v>
      </c>
      <c r="H185" s="2"/>
      <c r="I185" s="2"/>
      <c r="J185" s="2"/>
      <c r="K185" s="2">
        <v>1331.25</v>
      </c>
      <c r="L185" s="2"/>
      <c r="M185" s="2"/>
      <c r="N185" s="2">
        <v>12000</v>
      </c>
      <c r="O185" s="2"/>
      <c r="P185" s="9"/>
      <c r="Q185" s="2">
        <f>SUM(OSRRefD21_17_0x)+IFERROR(SUM(OSRRefE21_17_0x),0)</f>
        <v>71767.72</v>
      </c>
    </row>
    <row r="186" spans="1:17" s="34" customFormat="1" hidden="1" outlineLevel="1" x14ac:dyDescent="0.25">
      <c r="A186" s="35"/>
      <c r="B186" s="10" t="str">
        <f>CONCATENATE("          ","6372", " - ","COMPUTER HARDWARE MAINTENANCE")</f>
        <v xml:space="preserve">          6372 - COMPUTER HARDWARE MAINTENANCE</v>
      </c>
      <c r="C186" s="11"/>
      <c r="D186" s="2"/>
      <c r="E186" s="2">
        <v>0.98</v>
      </c>
      <c r="F186" s="2">
        <v>-9.09</v>
      </c>
      <c r="G186" s="2">
        <v>8.11</v>
      </c>
      <c r="H186" s="2"/>
      <c r="I186" s="2"/>
      <c r="J186" s="2"/>
      <c r="K186" s="2">
        <v>-1.1499999999999999</v>
      </c>
      <c r="L186" s="2"/>
      <c r="M186" s="2"/>
      <c r="N186" s="2"/>
      <c r="O186" s="2"/>
      <c r="P186" s="9"/>
      <c r="Q186" s="2">
        <f>SUM(OSRRefD21_17_1x)+IFERROR(SUM(OSRRefE21_17_1x),0)</f>
        <v>-1.1499999999999999</v>
      </c>
    </row>
    <row r="187" spans="1:17" s="34" customFormat="1" hidden="1" outlineLevel="1" x14ac:dyDescent="0.25">
      <c r="A187" s="35"/>
      <c r="B187" s="10" t="str">
        <f>CONCATENATE("          ","6373", " - ","MAINTENANCE CONTRACTS")</f>
        <v xml:space="preserve">          6373 - MAINTENANCE CONTRACTS</v>
      </c>
      <c r="C187" s="11"/>
      <c r="D187" s="2">
        <v>6416.01</v>
      </c>
      <c r="E187" s="2">
        <v>6723.92</v>
      </c>
      <c r="F187" s="2">
        <v>12704.27</v>
      </c>
      <c r="G187" s="2">
        <v>5396.67</v>
      </c>
      <c r="H187" s="2">
        <v>440.29</v>
      </c>
      <c r="I187" s="2">
        <v>8207.6200000000008</v>
      </c>
      <c r="J187" s="2">
        <v>1122</v>
      </c>
      <c r="K187" s="2">
        <v>3372.5</v>
      </c>
      <c r="L187" s="2">
        <v>1564.35</v>
      </c>
      <c r="M187" s="2">
        <v>1429</v>
      </c>
      <c r="N187" s="2">
        <v>2540</v>
      </c>
      <c r="O187" s="2">
        <v>3540</v>
      </c>
      <c r="P187" s="9"/>
      <c r="Q187" s="2">
        <f>SUM(OSRRefD21_17_2x)+IFERROR(SUM(OSRRefE21_17_2x),0)</f>
        <v>53456.630000000005</v>
      </c>
    </row>
    <row r="188" spans="1:17" s="34" customFormat="1" hidden="1" outlineLevel="1" x14ac:dyDescent="0.25">
      <c r="A188" s="35"/>
      <c r="B188" s="10" t="str">
        <f>CONCATENATE("          ","6375", " - ","OUTSIDE REPAIRS &amp; MAINTENANCE")</f>
        <v xml:space="preserve">          6375 - OUTSIDE REPAIRS &amp; MAINTENANCE</v>
      </c>
      <c r="C188" s="11"/>
      <c r="D188" s="2">
        <v>1616.98</v>
      </c>
      <c r="E188" s="2">
        <v>423.82</v>
      </c>
      <c r="F188" s="2">
        <v>1173.31</v>
      </c>
      <c r="G188" s="2">
        <v>6161.65</v>
      </c>
      <c r="H188" s="2">
        <v>3676.16</v>
      </c>
      <c r="I188" s="2">
        <v>45</v>
      </c>
      <c r="J188" s="2">
        <v>2575</v>
      </c>
      <c r="K188" s="2">
        <v>11534.48</v>
      </c>
      <c r="L188" s="2">
        <v>335.56</v>
      </c>
      <c r="M188" s="2">
        <v>1056.83</v>
      </c>
      <c r="N188" s="2">
        <v>5750</v>
      </c>
      <c r="O188" s="2">
        <v>5650</v>
      </c>
      <c r="P188" s="9"/>
      <c r="Q188" s="2">
        <f>SUM(OSRRefD21_17_3x)+IFERROR(SUM(OSRRefE21_17_3x),0)</f>
        <v>39998.79</v>
      </c>
    </row>
    <row r="189" spans="1:17" s="34" customFormat="1" collapsed="1" x14ac:dyDescent="0.25">
      <c r="A189" s="35"/>
      <c r="B189" s="11" t="str">
        <f>CONCATENATE("     ","Royalty &amp; Commissions                             ")</f>
        <v xml:space="preserve">     Royalty &amp; Commissions                             </v>
      </c>
      <c r="C189" s="11"/>
      <c r="D189" s="1">
        <f>SUM(OSRRefD21_18x_0)</f>
        <v>10989.75</v>
      </c>
      <c r="E189" s="1">
        <f>SUM(OSRRefD21_18x_1)</f>
        <v>2254.65</v>
      </c>
      <c r="F189" s="1">
        <f>SUM(OSRRefD21_18x_2)</f>
        <v>62.6</v>
      </c>
      <c r="G189" s="1">
        <f>SUM(OSRRefD21_18x_3)</f>
        <v>10995.7</v>
      </c>
      <c r="H189" s="1">
        <f>SUM(OSRRefD21_18x_4)</f>
        <v>4453.09</v>
      </c>
      <c r="I189" s="1">
        <f>SUM(OSRRefD21_18x_5)</f>
        <v>5.97</v>
      </c>
      <c r="J189" s="1">
        <f>SUM(OSRRefD21_18x_6)</f>
        <v>7789.59</v>
      </c>
      <c r="K189" s="1">
        <f>SUM(OSRRefD21_18x_7)</f>
        <v>468.34</v>
      </c>
      <c r="L189" s="1">
        <f>SUM(OSRRefD21_18x_8)</f>
        <v>27.21</v>
      </c>
      <c r="M189" s="1">
        <f>SUM(OSRRefD21_18x_9)</f>
        <v>11531.75</v>
      </c>
      <c r="N189" s="1">
        <f>SUM(OSRRefE21_18x_0)</f>
        <v>6371</v>
      </c>
      <c r="O189" s="1">
        <f>SUM(OSRRefE21_18x_1)</f>
        <v>6371</v>
      </c>
      <c r="Q189" s="2">
        <f>SUM(OSRRefD20_18x)+IFERROR(SUM(OSRRefE20_18x),0)</f>
        <v>61320.65</v>
      </c>
    </row>
    <row r="190" spans="1:17" s="34" customFormat="1" hidden="1" outlineLevel="1" x14ac:dyDescent="0.25">
      <c r="A190" s="35"/>
      <c r="B190" s="10" t="str">
        <f>CONCATENATE("          ","6252", " - ","ROYALTY DUE CSTV")</f>
        <v xml:space="preserve">          6252 - ROYALTY DUE CSTV</v>
      </c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>
        <v>1085</v>
      </c>
      <c r="O190" s="2">
        <v>1085</v>
      </c>
      <c r="P190" s="9"/>
      <c r="Q190" s="2">
        <f>SUM(OSRRefD21_18_0x)+IFERROR(SUM(OSRRefE21_18_0x),0)</f>
        <v>2170</v>
      </c>
    </row>
    <row r="191" spans="1:17" s="34" customFormat="1" hidden="1" outlineLevel="1" x14ac:dyDescent="0.25">
      <c r="A191" s="35"/>
      <c r="B191" s="10" t="str">
        <f>CONCATENATE("          ","6253", " - ","ROYALTY DUE ATHLETICS-LRG")</f>
        <v xml:space="preserve">          6253 - ROYALTY DUE ATHLETICS-LRG</v>
      </c>
      <c r="C191" s="11"/>
      <c r="D191" s="2">
        <v>5672.2</v>
      </c>
      <c r="E191" s="2">
        <v>2250</v>
      </c>
      <c r="F191" s="2"/>
      <c r="G191" s="2">
        <v>10489.6</v>
      </c>
      <c r="H191" s="2"/>
      <c r="I191" s="2"/>
      <c r="J191" s="2">
        <v>7785.78</v>
      </c>
      <c r="K191" s="2"/>
      <c r="L191" s="2"/>
      <c r="M191" s="2">
        <v>8961.48</v>
      </c>
      <c r="N191" s="2">
        <v>4037</v>
      </c>
      <c r="O191" s="2">
        <v>4037</v>
      </c>
      <c r="P191" s="9"/>
      <c r="Q191" s="2">
        <f>SUM(OSRRefD21_18_1x)+IFERROR(SUM(OSRRefE21_18_1x),0)</f>
        <v>43233.06</v>
      </c>
    </row>
    <row r="192" spans="1:17" s="34" customFormat="1" hidden="1" outlineLevel="1" x14ac:dyDescent="0.25">
      <c r="A192" s="35"/>
      <c r="B192" s="10" t="str">
        <f>CONCATENATE("          ","6254", " - ","ROYALTY &amp; COMMISSIONS")</f>
        <v xml:space="preserve">          6254 - ROYALTY &amp; COMMISSIONS</v>
      </c>
      <c r="C192" s="11"/>
      <c r="D192" s="2"/>
      <c r="E192" s="2"/>
      <c r="F192" s="2"/>
      <c r="G192" s="2">
        <v>185.7</v>
      </c>
      <c r="H192" s="2"/>
      <c r="I192" s="2"/>
      <c r="J192" s="2"/>
      <c r="K192" s="2"/>
      <c r="L192" s="2"/>
      <c r="M192" s="2"/>
      <c r="N192" s="2">
        <v>1149</v>
      </c>
      <c r="O192" s="2">
        <v>1149</v>
      </c>
      <c r="P192" s="9"/>
      <c r="Q192" s="2">
        <f>SUM(OSRRefD21_18_2x)+IFERROR(SUM(OSRRefE21_18_2x),0)</f>
        <v>2483.6999999999998</v>
      </c>
    </row>
    <row r="193" spans="1:17" s="34" customFormat="1" hidden="1" outlineLevel="1" x14ac:dyDescent="0.25">
      <c r="A193" s="35"/>
      <c r="B193" s="10" t="str">
        <f>CONCATENATE("          ","6259", " - ","ROYALTY &amp; COMMISSIONS")</f>
        <v xml:space="preserve">          6259 - ROYALTY &amp; COMMISSIONS</v>
      </c>
      <c r="C193" s="11"/>
      <c r="D193" s="2">
        <v>5317.55</v>
      </c>
      <c r="E193" s="2">
        <v>4.6500000000000004</v>
      </c>
      <c r="F193" s="2">
        <v>62.6</v>
      </c>
      <c r="G193" s="2">
        <v>320.39999999999998</v>
      </c>
      <c r="H193" s="2">
        <v>4453.09</v>
      </c>
      <c r="I193" s="2">
        <v>5.97</v>
      </c>
      <c r="J193" s="2">
        <v>3.81</v>
      </c>
      <c r="K193" s="2">
        <v>468.34</v>
      </c>
      <c r="L193" s="2">
        <v>27.21</v>
      </c>
      <c r="M193" s="2">
        <v>2570.27</v>
      </c>
      <c r="N193" s="2">
        <v>100</v>
      </c>
      <c r="O193" s="2">
        <v>100</v>
      </c>
      <c r="P193" s="9"/>
      <c r="Q193" s="2">
        <f>SUM(OSRRefD21_18_3x)+IFERROR(SUM(OSRRefE21_18_3x),0)</f>
        <v>13433.89</v>
      </c>
    </row>
    <row r="194" spans="1:17" s="34" customFormat="1" collapsed="1" x14ac:dyDescent="0.25">
      <c r="A194" s="35"/>
      <c r="B194" s="11" t="str">
        <f>CONCATENATE("     ","Services                                          ")</f>
        <v xml:space="preserve">     Services                                          </v>
      </c>
      <c r="C194" s="11"/>
      <c r="D194" s="1">
        <f>SUM(OSRRefD21_19x_0)</f>
        <v>3079.1400000000003</v>
      </c>
      <c r="E194" s="1">
        <f>SUM(OSRRefD21_19x_1)</f>
        <v>-347.38000000000005</v>
      </c>
      <c r="F194" s="1">
        <f>SUM(OSRRefD21_19x_2)</f>
        <v>4558.25</v>
      </c>
      <c r="G194" s="1">
        <f>SUM(OSRRefD21_19x_3)</f>
        <v>4526.42</v>
      </c>
      <c r="H194" s="1">
        <f>SUM(OSRRefD21_19x_4)</f>
        <v>4228.53</v>
      </c>
      <c r="I194" s="1">
        <f>SUM(OSRRefD21_19x_5)</f>
        <v>3492.68</v>
      </c>
      <c r="J194" s="1">
        <f>SUM(OSRRefD21_19x_6)</f>
        <v>6605.9</v>
      </c>
      <c r="K194" s="1">
        <f>SUM(OSRRefD21_19x_7)</f>
        <v>4363.5</v>
      </c>
      <c r="L194" s="1">
        <f>SUM(OSRRefD21_19x_8)</f>
        <v>7635.98</v>
      </c>
      <c r="M194" s="1">
        <f>SUM(OSRRefD21_19x_9)</f>
        <v>4447.17</v>
      </c>
      <c r="N194" s="1">
        <f>SUM(OSRRefE21_19x_0)</f>
        <v>4455</v>
      </c>
      <c r="O194" s="1">
        <f>SUM(OSRRefE21_19x_1)</f>
        <v>4510</v>
      </c>
      <c r="Q194" s="2">
        <f>SUM(OSRRefD20_19x)+IFERROR(SUM(OSRRefE20_19x),0)</f>
        <v>51555.19</v>
      </c>
    </row>
    <row r="195" spans="1:17" s="34" customFormat="1" hidden="1" outlineLevel="1" x14ac:dyDescent="0.25">
      <c r="A195" s="35"/>
      <c r="B195" s="10" t="str">
        <f>CONCATENATE("          ","6282", " - ","JANITORIAL/EXTERMINATOR EXPENS")</f>
        <v xml:space="preserve">          6282 - JANITORIAL/EXTERMINATOR EXPENS</v>
      </c>
      <c r="C195" s="11"/>
      <c r="D195" s="2">
        <v>136.5</v>
      </c>
      <c r="E195" s="2">
        <v>-429.22</v>
      </c>
      <c r="F195" s="2">
        <v>307.5</v>
      </c>
      <c r="G195" s="2">
        <v>4888.68</v>
      </c>
      <c r="H195" s="2">
        <v>307.5</v>
      </c>
      <c r="I195" s="2">
        <v>709.65</v>
      </c>
      <c r="J195" s="2">
        <v>2384.33</v>
      </c>
      <c r="K195" s="2">
        <v>141.93</v>
      </c>
      <c r="L195" s="2">
        <v>894.21</v>
      </c>
      <c r="M195" s="2">
        <v>151.85</v>
      </c>
      <c r="N195" s="2">
        <v>4000</v>
      </c>
      <c r="O195" s="2">
        <v>4000</v>
      </c>
      <c r="P195" s="9"/>
      <c r="Q195" s="2">
        <f>SUM(OSRRefD21_19_0x)+IFERROR(SUM(OSRRefE21_19_0x),0)</f>
        <v>17492.93</v>
      </c>
    </row>
    <row r="196" spans="1:17" s="34" customFormat="1" hidden="1" outlineLevel="1" x14ac:dyDescent="0.25">
      <c r="A196" s="35"/>
      <c r="B196" s="10" t="str">
        <f>CONCATENATE("          ","6283", " - ","PLANT SERVICE")</f>
        <v xml:space="preserve">          6283 - PLANT SERVICE</v>
      </c>
      <c r="C196" s="11"/>
      <c r="D196" s="2">
        <v>130</v>
      </c>
      <c r="E196" s="2"/>
      <c r="F196" s="2"/>
      <c r="G196" s="2"/>
      <c r="H196" s="2">
        <v>41.31</v>
      </c>
      <c r="I196" s="2"/>
      <c r="J196" s="2"/>
      <c r="K196" s="2"/>
      <c r="L196" s="2"/>
      <c r="M196" s="2"/>
      <c r="N196" s="2">
        <v>0</v>
      </c>
      <c r="O196" s="2">
        <v>0</v>
      </c>
      <c r="P196" s="9"/>
      <c r="Q196" s="2">
        <f>SUM(OSRRefD21_19_1x)+IFERROR(SUM(OSRRefE21_19_1x),0)</f>
        <v>171.31</v>
      </c>
    </row>
    <row r="197" spans="1:17" s="34" customFormat="1" hidden="1" outlineLevel="1" x14ac:dyDescent="0.25">
      <c r="A197" s="35"/>
      <c r="B197" s="10" t="str">
        <f>CONCATENATE("          ","6284", " - ","TRASH REMOVAL EXPENSE")</f>
        <v xml:space="preserve">          6284 - TRASH REMOVAL EXPENSE</v>
      </c>
      <c r="C197" s="11"/>
      <c r="D197" s="2">
        <v>142.57</v>
      </c>
      <c r="E197" s="2">
        <v>142.57</v>
      </c>
      <c r="F197" s="2">
        <v>142.57</v>
      </c>
      <c r="G197" s="2">
        <v>157.59</v>
      </c>
      <c r="H197" s="2">
        <v>289</v>
      </c>
      <c r="I197" s="2">
        <v>574.14</v>
      </c>
      <c r="J197" s="2">
        <v>431.57</v>
      </c>
      <c r="K197" s="2">
        <v>431.57</v>
      </c>
      <c r="L197" s="2">
        <v>-138.43</v>
      </c>
      <c r="M197" s="2">
        <v>431.57</v>
      </c>
      <c r="N197" s="2">
        <v>55</v>
      </c>
      <c r="O197" s="2">
        <v>110</v>
      </c>
      <c r="P197" s="9"/>
      <c r="Q197" s="2">
        <f>SUM(OSRRefD21_19_2x)+IFERROR(SUM(OSRRefE21_19_2x),0)</f>
        <v>2769.7200000000003</v>
      </c>
    </row>
    <row r="198" spans="1:17" s="34" customFormat="1" hidden="1" outlineLevel="1" x14ac:dyDescent="0.25">
      <c r="A198" s="35"/>
      <c r="B198" s="10" t="str">
        <f>CONCATENATE("          ","6285", " - ","JANITORIAL SERVICES")</f>
        <v xml:space="preserve">          6285 - JANITORIAL SERVICES</v>
      </c>
      <c r="C198" s="11"/>
      <c r="D198" s="2">
        <v>2670.07</v>
      </c>
      <c r="E198" s="2">
        <v>-60.73</v>
      </c>
      <c r="F198" s="2">
        <v>4108.18</v>
      </c>
      <c r="G198" s="2">
        <v>-519.85</v>
      </c>
      <c r="H198" s="2">
        <v>3590.72</v>
      </c>
      <c r="I198" s="2">
        <v>2208.89</v>
      </c>
      <c r="J198" s="2">
        <v>3790</v>
      </c>
      <c r="K198" s="2">
        <v>3790</v>
      </c>
      <c r="L198" s="2">
        <v>6880.2</v>
      </c>
      <c r="M198" s="2">
        <v>3863.75</v>
      </c>
      <c r="N198" s="2">
        <v>400</v>
      </c>
      <c r="O198" s="2">
        <v>400</v>
      </c>
      <c r="P198" s="9"/>
      <c r="Q198" s="2">
        <f>SUM(OSRRefD21_19_3x)+IFERROR(SUM(OSRRefE21_19_3x),0)</f>
        <v>31121.23</v>
      </c>
    </row>
    <row r="199" spans="1:17" s="34" customFormat="1" collapsed="1" x14ac:dyDescent="0.25">
      <c r="A199" s="35"/>
      <c r="B199" s="11" t="str">
        <f>CONCATENATE("     ","Subscriptions &amp; Dues                              ")</f>
        <v xml:space="preserve">     Subscriptions &amp; Dues                              </v>
      </c>
      <c r="C199" s="11"/>
      <c r="D199" s="1">
        <f>SUM(OSRRefD21_20x_0)</f>
        <v>365</v>
      </c>
      <c r="E199" s="1">
        <f>SUM(OSRRefD21_20x_1)</f>
        <v>270</v>
      </c>
      <c r="F199" s="1">
        <f>SUM(OSRRefD21_20x_2)</f>
        <v>148.77000000000001</v>
      </c>
      <c r="G199" s="1">
        <f>SUM(OSRRefD21_20x_3)</f>
        <v>865.32</v>
      </c>
      <c r="H199" s="1">
        <f>SUM(OSRRefD21_20x_4)</f>
        <v>-274.08</v>
      </c>
      <c r="I199" s="1">
        <f>SUM(OSRRefD21_20x_5)</f>
        <v>80.430000000000007</v>
      </c>
      <c r="J199" s="1">
        <f>SUM(OSRRefD21_20x_6)</f>
        <v>2389.69</v>
      </c>
      <c r="K199" s="1">
        <f>SUM(OSRRefD21_20x_7)</f>
        <v>181.41</v>
      </c>
      <c r="L199" s="1">
        <f>SUM(OSRRefD21_20x_8)</f>
        <v>307.78999999999996</v>
      </c>
      <c r="M199" s="1">
        <f>SUM(OSRRefD21_20x_9)</f>
        <v>2343.58</v>
      </c>
      <c r="N199" s="1">
        <f>SUM(OSRRefE21_20x_0)</f>
        <v>1100</v>
      </c>
      <c r="O199" s="1">
        <f>SUM(OSRRefE21_20x_1)</f>
        <v>1300</v>
      </c>
      <c r="Q199" s="2">
        <f>SUM(OSRRefD20_20x)+IFERROR(SUM(OSRRefE20_20x),0)</f>
        <v>9077.91</v>
      </c>
    </row>
    <row r="200" spans="1:17" s="34" customFormat="1" hidden="1" outlineLevel="1" x14ac:dyDescent="0.25">
      <c r="A200" s="35"/>
      <c r="B200" s="10" t="str">
        <f>CONCATENATE("          ","6258", " - ","MEMBERSHIP DUES")</f>
        <v xml:space="preserve">          6258 - MEMBERSHIP DUES</v>
      </c>
      <c r="C200" s="11"/>
      <c r="D200" s="2">
        <v>290</v>
      </c>
      <c r="E200" s="2">
        <v>270</v>
      </c>
      <c r="F200" s="2">
        <v>73.040000000000006</v>
      </c>
      <c r="G200" s="2">
        <v>790.32</v>
      </c>
      <c r="H200" s="2">
        <v>-274.08</v>
      </c>
      <c r="I200" s="2">
        <v>80.430000000000007</v>
      </c>
      <c r="J200" s="2">
        <v>462.61</v>
      </c>
      <c r="K200" s="2">
        <v>181.41</v>
      </c>
      <c r="L200" s="2">
        <v>232.79</v>
      </c>
      <c r="M200" s="2">
        <v>328.71</v>
      </c>
      <c r="N200" s="2">
        <v>1100</v>
      </c>
      <c r="O200" s="2">
        <v>1300</v>
      </c>
      <c r="P200" s="9"/>
      <c r="Q200" s="2">
        <f>SUM(OSRRefD21_20_0x)+IFERROR(SUM(OSRRefE21_20_0x),0)</f>
        <v>4835.2300000000005</v>
      </c>
    </row>
    <row r="201" spans="1:17" s="34" customFormat="1" hidden="1" outlineLevel="1" x14ac:dyDescent="0.25">
      <c r="A201" s="35"/>
      <c r="B201" s="10" t="str">
        <f>CONCATENATE("          ","6275", " - ","SUBSCRIPTIONS")</f>
        <v xml:space="preserve">          6275 - SUBSCRIPTIONS</v>
      </c>
      <c r="C201" s="11"/>
      <c r="D201" s="2">
        <v>75</v>
      </c>
      <c r="E201" s="2"/>
      <c r="F201" s="2">
        <v>75.73</v>
      </c>
      <c r="G201" s="2">
        <v>75</v>
      </c>
      <c r="H201" s="2"/>
      <c r="I201" s="2"/>
      <c r="J201" s="2">
        <v>1927.08</v>
      </c>
      <c r="K201" s="2"/>
      <c r="L201" s="2">
        <v>75</v>
      </c>
      <c r="M201" s="2">
        <v>2014.87</v>
      </c>
      <c r="N201" s="2">
        <v>0</v>
      </c>
      <c r="O201" s="2">
        <v>0</v>
      </c>
      <c r="P201" s="9"/>
      <c r="Q201" s="2">
        <f>SUM(OSRRefD21_20_1x)+IFERROR(SUM(OSRRefE21_20_1x),0)</f>
        <v>4242.68</v>
      </c>
    </row>
    <row r="202" spans="1:17" s="34" customFormat="1" collapsed="1" x14ac:dyDescent="0.25">
      <c r="A202" s="35"/>
      <c r="B202" s="11" t="str">
        <f>CONCATENATE("     ","Supplies                                          ")</f>
        <v xml:space="preserve">     Supplies                                          </v>
      </c>
      <c r="C202" s="11"/>
      <c r="D202" s="1">
        <f>SUM(OSRRefD21_21x_0)</f>
        <v>11727.19</v>
      </c>
      <c r="E202" s="1">
        <f>SUM(OSRRefD21_21x_1)</f>
        <v>8139.619999999999</v>
      </c>
      <c r="F202" s="1">
        <f>SUM(OSRRefD21_21x_2)</f>
        <v>14576.420000000002</v>
      </c>
      <c r="G202" s="1">
        <f>SUM(OSRRefD21_21x_3)</f>
        <v>23249.799999999996</v>
      </c>
      <c r="H202" s="1">
        <f>SUM(OSRRefD21_21x_4)</f>
        <v>14796.98</v>
      </c>
      <c r="I202" s="1">
        <f>SUM(OSRRefD21_21x_5)</f>
        <v>5930.1799999999994</v>
      </c>
      <c r="J202" s="1">
        <f>SUM(OSRRefD21_21x_6)</f>
        <v>13676.5</v>
      </c>
      <c r="K202" s="1">
        <f>SUM(OSRRefD21_21x_7)</f>
        <v>7904.01</v>
      </c>
      <c r="L202" s="1">
        <f>SUM(OSRRefD21_21x_8)</f>
        <v>4097.66</v>
      </c>
      <c r="M202" s="1">
        <f>SUM(OSRRefD21_21x_9)</f>
        <v>8692.42</v>
      </c>
      <c r="N202" s="1">
        <f>SUM(OSRRefE21_21x_0)</f>
        <v>4170</v>
      </c>
      <c r="O202" s="1">
        <f>SUM(OSRRefE21_21x_1)</f>
        <v>2970</v>
      </c>
      <c r="Q202" s="2">
        <f>SUM(OSRRefD20_21x)+IFERROR(SUM(OSRRefE20_21x),0)</f>
        <v>119930.77999999998</v>
      </c>
    </row>
    <row r="203" spans="1:17" s="34" customFormat="1" hidden="1" outlineLevel="1" x14ac:dyDescent="0.25">
      <c r="A203" s="35"/>
      <c r="B203" s="10" t="str">
        <f>CONCATENATE("          ","6234", " - ","EXPENDABLE SUPPLIES &amp; EQUIPMEN")</f>
        <v xml:space="preserve">          6234 - EXPENDABLE SUPPLIES &amp; EQUIPMEN</v>
      </c>
      <c r="C203" s="11"/>
      <c r="D203" s="2"/>
      <c r="E203" s="2"/>
      <c r="F203" s="2">
        <v>316.67</v>
      </c>
      <c r="G203" s="2">
        <v>101.34</v>
      </c>
      <c r="H203" s="2">
        <v>-550.67999999999995</v>
      </c>
      <c r="I203" s="2"/>
      <c r="J203" s="2">
        <v>396.5</v>
      </c>
      <c r="K203" s="2"/>
      <c r="L203" s="2"/>
      <c r="M203" s="2">
        <v>53</v>
      </c>
      <c r="N203" s="2">
        <v>100</v>
      </c>
      <c r="O203" s="2">
        <v>100</v>
      </c>
      <c r="P203" s="9"/>
      <c r="Q203" s="2">
        <f>SUM(OSRRefD21_21_0x)+IFERROR(SUM(OSRRefE21_21_0x),0)</f>
        <v>516.83000000000004</v>
      </c>
    </row>
    <row r="204" spans="1:17" s="34" customFormat="1" hidden="1" outlineLevel="1" x14ac:dyDescent="0.25">
      <c r="A204" s="35"/>
      <c r="B204" s="10" t="str">
        <f>CONCATENATE("          ","6235", " - ","COVID-19 EXPENSES")</f>
        <v xml:space="preserve">          6235 - COVID-19 EXPENSES</v>
      </c>
      <c r="C204" s="11"/>
      <c r="D204" s="2">
        <v>6219.38</v>
      </c>
      <c r="E204" s="2">
        <v>621.78</v>
      </c>
      <c r="F204" s="2">
        <v>2460.7800000000002</v>
      </c>
      <c r="G204" s="2">
        <v>16805.12</v>
      </c>
      <c r="H204" s="2">
        <v>2556.84</v>
      </c>
      <c r="I204" s="2">
        <v>2921.2</v>
      </c>
      <c r="J204" s="2">
        <v>2921.2</v>
      </c>
      <c r="K204" s="2">
        <v>2992.14</v>
      </c>
      <c r="L204" s="2">
        <v>370.83</v>
      </c>
      <c r="M204" s="2">
        <v>3407.79</v>
      </c>
      <c r="N204" s="2">
        <v>250</v>
      </c>
      <c r="O204" s="2">
        <v>250</v>
      </c>
      <c r="P204" s="9"/>
      <c r="Q204" s="2">
        <f>SUM(OSRRefD21_21_1x)+IFERROR(SUM(OSRRefE21_21_1x),0)</f>
        <v>41777.06</v>
      </c>
    </row>
    <row r="205" spans="1:17" s="34" customFormat="1" hidden="1" outlineLevel="1" x14ac:dyDescent="0.25">
      <c r="A205" s="35"/>
      <c r="B205" s="10" t="str">
        <f>CONCATENATE("          ","6237", " - ","JANITORIAL SUPPLIES")</f>
        <v xml:space="preserve">          6237 - JANITORIAL SUPPLIES</v>
      </c>
      <c r="C205" s="11"/>
      <c r="D205" s="2">
        <v>139.31</v>
      </c>
      <c r="E205" s="2"/>
      <c r="F205" s="2">
        <v>317.57</v>
      </c>
      <c r="G205" s="2">
        <v>1109.05</v>
      </c>
      <c r="H205" s="2">
        <v>246.99</v>
      </c>
      <c r="I205" s="2">
        <v>438.53</v>
      </c>
      <c r="J205" s="2">
        <v>329.77</v>
      </c>
      <c r="K205" s="2"/>
      <c r="L205" s="2">
        <v>637.59</v>
      </c>
      <c r="M205" s="2">
        <v>588.30999999999995</v>
      </c>
      <c r="N205" s="2">
        <v>220</v>
      </c>
      <c r="O205" s="2">
        <v>220</v>
      </c>
      <c r="P205" s="9"/>
      <c r="Q205" s="2">
        <f>SUM(OSRRefD21_21_2x)+IFERROR(SUM(OSRRefE21_21_2x),0)</f>
        <v>4247.12</v>
      </c>
    </row>
    <row r="206" spans="1:17" s="34" customFormat="1" hidden="1" outlineLevel="1" x14ac:dyDescent="0.25">
      <c r="A206" s="35"/>
      <c r="B206" s="10" t="str">
        <f>CONCATENATE("          ","6241", " - ","OFFICE EXPENSE")</f>
        <v xml:space="preserve">          6241 - OFFICE EXPENSE</v>
      </c>
      <c r="C206" s="11"/>
      <c r="D206" s="2">
        <v>430.41</v>
      </c>
      <c r="E206" s="2">
        <v>2334.83</v>
      </c>
      <c r="F206" s="2">
        <v>4845.55</v>
      </c>
      <c r="G206" s="2">
        <v>330.19</v>
      </c>
      <c r="H206" s="2">
        <v>669.18</v>
      </c>
      <c r="I206" s="2">
        <v>308.81</v>
      </c>
      <c r="J206" s="2">
        <v>444.2</v>
      </c>
      <c r="K206" s="2">
        <v>624.67999999999995</v>
      </c>
      <c r="L206" s="2">
        <v>496.61</v>
      </c>
      <c r="M206" s="2">
        <v>514.54999999999995</v>
      </c>
      <c r="N206" s="2">
        <v>350</v>
      </c>
      <c r="O206" s="2">
        <v>225</v>
      </c>
      <c r="P206" s="9"/>
      <c r="Q206" s="2">
        <f>SUM(OSRRefD21_21_3x)+IFERROR(SUM(OSRRefE21_21_3x),0)</f>
        <v>11574.01</v>
      </c>
    </row>
    <row r="207" spans="1:17" s="34" customFormat="1" hidden="1" outlineLevel="1" x14ac:dyDescent="0.25">
      <c r="A207" s="35"/>
      <c r="B207" s="10" t="str">
        <f>CONCATENATE("          ","6243", " - ","PAPER SUPPLIES")</f>
        <v xml:space="preserve">          6243 - PAPER SUPPLIES</v>
      </c>
      <c r="C207" s="11"/>
      <c r="D207" s="2">
        <v>1080</v>
      </c>
      <c r="E207" s="2">
        <v>2044.69</v>
      </c>
      <c r="F207" s="2"/>
      <c r="G207" s="2">
        <v>449.01</v>
      </c>
      <c r="H207" s="2">
        <v>1108.5999999999999</v>
      </c>
      <c r="I207" s="2">
        <v>411.1</v>
      </c>
      <c r="J207" s="2">
        <v>1080</v>
      </c>
      <c r="K207" s="2"/>
      <c r="L207" s="2">
        <v>309.25</v>
      </c>
      <c r="M207" s="2">
        <v>199.93</v>
      </c>
      <c r="N207" s="2">
        <v>750</v>
      </c>
      <c r="O207" s="2">
        <v>100</v>
      </c>
      <c r="P207" s="9"/>
      <c r="Q207" s="2">
        <f>SUM(OSRRefD21_21_4x)+IFERROR(SUM(OSRRefE21_21_4x),0)</f>
        <v>7532.58</v>
      </c>
    </row>
    <row r="208" spans="1:17" s="34" customFormat="1" hidden="1" outlineLevel="1" x14ac:dyDescent="0.25">
      <c r="A208" s="35"/>
      <c r="B208" s="10" t="str">
        <f>CONCATENATE("          ","6244", " - ","SAFETY SUPPLY EXPENSE")</f>
        <v xml:space="preserve">          6244 - SAFETY SUPPLY EXPENSE</v>
      </c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>
        <v>0</v>
      </c>
      <c r="O208" s="2">
        <v>0</v>
      </c>
      <c r="P208" s="9"/>
      <c r="Q208" s="2">
        <f>SUM(OSRRefD21_21_5x)+IFERROR(SUM(OSRRefE21_21_5x),0)</f>
        <v>0</v>
      </c>
    </row>
    <row r="209" spans="1:17" s="34" customFormat="1" hidden="1" outlineLevel="1" x14ac:dyDescent="0.25">
      <c r="A209" s="35"/>
      <c r="B209" s="10" t="str">
        <f>CONCATENATE("          ","6245", " - ","PRINTING")</f>
        <v xml:space="preserve">          6245 - PRINTING</v>
      </c>
      <c r="C209" s="11"/>
      <c r="D209" s="2">
        <v>-1543.5</v>
      </c>
      <c r="E209" s="2">
        <v>1248</v>
      </c>
      <c r="F209" s="2">
        <v>356.96</v>
      </c>
      <c r="G209" s="2">
        <v>353.09</v>
      </c>
      <c r="H209" s="2">
        <v>93.72</v>
      </c>
      <c r="I209" s="2"/>
      <c r="J209" s="2"/>
      <c r="K209" s="2">
        <v>398.67</v>
      </c>
      <c r="L209" s="2">
        <v>447.27</v>
      </c>
      <c r="M209" s="2">
        <v>1766.38</v>
      </c>
      <c r="N209" s="2">
        <v>525</v>
      </c>
      <c r="O209" s="2">
        <v>125</v>
      </c>
      <c r="P209" s="9"/>
      <c r="Q209" s="2">
        <f>SUM(OSRRefD21_21_6x)+IFERROR(SUM(OSRRefE21_21_6x),0)</f>
        <v>3770.59</v>
      </c>
    </row>
    <row r="210" spans="1:17" s="34" customFormat="1" hidden="1" outlineLevel="1" x14ac:dyDescent="0.25">
      <c r="A210" s="35"/>
      <c r="B210" s="10" t="str">
        <f>CONCATENATE("          ","6247", " - ","STORE SUPPLIES")</f>
        <v xml:space="preserve">          6247 - STORE SUPPLIES</v>
      </c>
      <c r="C210" s="11"/>
      <c r="D210" s="2">
        <v>5401.59</v>
      </c>
      <c r="E210" s="2">
        <v>1890.32</v>
      </c>
      <c r="F210" s="2">
        <v>6278.89</v>
      </c>
      <c r="G210" s="2">
        <v>4102</v>
      </c>
      <c r="H210" s="2">
        <v>10672.33</v>
      </c>
      <c r="I210" s="2">
        <v>1850.54</v>
      </c>
      <c r="J210" s="2">
        <v>8504.83</v>
      </c>
      <c r="K210" s="2">
        <v>3888.52</v>
      </c>
      <c r="L210" s="2">
        <v>1836.11</v>
      </c>
      <c r="M210" s="2">
        <v>2162.46</v>
      </c>
      <c r="N210" s="2">
        <v>975</v>
      </c>
      <c r="O210" s="2">
        <v>950</v>
      </c>
      <c r="P210" s="9"/>
      <c r="Q210" s="2">
        <f>SUM(OSRRefD21_21_7x)+IFERROR(SUM(OSRRefE21_21_7x),0)</f>
        <v>48512.59</v>
      </c>
    </row>
    <row r="211" spans="1:17" s="34" customFormat="1" hidden="1" outlineLevel="1" x14ac:dyDescent="0.25">
      <c r="A211" s="35"/>
      <c r="B211" s="10" t="str">
        <f>CONCATENATE("          ","6248", " - ","UNIFORMS")</f>
        <v xml:space="preserve">          6248 - UNIFORMS</v>
      </c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>
        <v>1000</v>
      </c>
      <c r="O211" s="2">
        <v>1000</v>
      </c>
      <c r="P211" s="9"/>
      <c r="Q211" s="2">
        <f>SUM(OSRRefD21_21_8x)+IFERROR(SUM(OSRRefE21_21_8x),0)</f>
        <v>2000</v>
      </c>
    </row>
    <row r="212" spans="1:17" s="34" customFormat="1" collapsed="1" x14ac:dyDescent="0.25">
      <c r="A212" s="35"/>
      <c r="B212" s="11" t="str">
        <f>CONCATENATE("     ","Telephone/Data Lines                              ")</f>
        <v xml:space="preserve">     Telephone/Data Lines                              </v>
      </c>
      <c r="C212" s="11"/>
      <c r="D212" s="1">
        <f>SUM(OSRRefD21_22x_0)</f>
        <v>2762.06</v>
      </c>
      <c r="E212" s="1">
        <f>SUM(OSRRefD21_22x_1)</f>
        <v>2485.56</v>
      </c>
      <c r="F212" s="1">
        <f>SUM(OSRRefD21_22x_2)</f>
        <v>5389.41</v>
      </c>
      <c r="G212" s="1">
        <f>SUM(OSRRefD21_22x_3)</f>
        <v>2000.33</v>
      </c>
      <c r="H212" s="1">
        <f>SUM(OSRRefD21_22x_4)</f>
        <v>2804.0299999999997</v>
      </c>
      <c r="I212" s="1">
        <f>SUM(OSRRefD21_22x_5)</f>
        <v>2247.09</v>
      </c>
      <c r="J212" s="1">
        <f>SUM(OSRRefD21_22x_6)</f>
        <v>2487.31</v>
      </c>
      <c r="K212" s="1">
        <f>SUM(OSRRefD21_22x_7)</f>
        <v>1264.25</v>
      </c>
      <c r="L212" s="1">
        <f>SUM(OSRRefD21_22x_8)</f>
        <v>1621.52</v>
      </c>
      <c r="M212" s="1">
        <f>SUM(OSRRefD21_22x_9)</f>
        <v>2288.2600000000002</v>
      </c>
      <c r="N212" s="1">
        <f>SUM(OSRRefE21_22x_0)</f>
        <v>2010</v>
      </c>
      <c r="O212" s="1">
        <f>SUM(OSRRefE21_22x_1)</f>
        <v>2010</v>
      </c>
      <c r="Q212" s="2">
        <f>SUM(OSRRefD20_22x)+IFERROR(SUM(OSRRefE20_22x),0)</f>
        <v>29369.82</v>
      </c>
    </row>
    <row r="213" spans="1:17" s="34" customFormat="1" hidden="1" outlineLevel="1" x14ac:dyDescent="0.25">
      <c r="A213" s="35"/>
      <c r="B213" s="10" t="str">
        <f>CONCATENATE("          ","6303", " - ","DATA PHONE LINES")</f>
        <v xml:space="preserve">          6303 - DATA PHONE LINES</v>
      </c>
      <c r="C213" s="11"/>
      <c r="D213" s="2">
        <v>295</v>
      </c>
      <c r="E213" s="2"/>
      <c r="F213" s="2">
        <v>885</v>
      </c>
      <c r="G213" s="2"/>
      <c r="H213" s="2">
        <v>885</v>
      </c>
      <c r="I213" s="2"/>
      <c r="J213" s="2">
        <v>295</v>
      </c>
      <c r="K213" s="2">
        <v>590</v>
      </c>
      <c r="L213" s="2"/>
      <c r="M213" s="2">
        <v>590</v>
      </c>
      <c r="N213" s="2">
        <v>645</v>
      </c>
      <c r="O213" s="2">
        <v>645</v>
      </c>
      <c r="P213" s="9"/>
      <c r="Q213" s="2">
        <f>SUM(OSRRefD21_22_0x)+IFERROR(SUM(OSRRefE21_22_0x),0)</f>
        <v>4830</v>
      </c>
    </row>
    <row r="214" spans="1:17" s="34" customFormat="1" hidden="1" outlineLevel="1" x14ac:dyDescent="0.25">
      <c r="A214" s="35"/>
      <c r="B214" s="10" t="str">
        <f>CONCATENATE("          ","6309", " - ","TELEPHONE")</f>
        <v xml:space="preserve">          6309 - TELEPHONE</v>
      </c>
      <c r="C214" s="11"/>
      <c r="D214" s="2">
        <v>2467.06</v>
      </c>
      <c r="E214" s="2">
        <v>2485.56</v>
      </c>
      <c r="F214" s="2">
        <v>4504.41</v>
      </c>
      <c r="G214" s="2">
        <v>2000.33</v>
      </c>
      <c r="H214" s="2">
        <v>1919.03</v>
      </c>
      <c r="I214" s="2">
        <v>2247.09</v>
      </c>
      <c r="J214" s="2">
        <v>2192.31</v>
      </c>
      <c r="K214" s="2">
        <v>674.25</v>
      </c>
      <c r="L214" s="2">
        <v>1621.52</v>
      </c>
      <c r="M214" s="2">
        <v>1698.26</v>
      </c>
      <c r="N214" s="2">
        <v>1365</v>
      </c>
      <c r="O214" s="2">
        <v>1365</v>
      </c>
      <c r="P214" s="9"/>
      <c r="Q214" s="2">
        <f>SUM(OSRRefD21_22_1x)+IFERROR(SUM(OSRRefE21_22_1x),0)</f>
        <v>24539.82</v>
      </c>
    </row>
    <row r="215" spans="1:17" s="34" customFormat="1" collapsed="1" x14ac:dyDescent="0.25">
      <c r="A215" s="35"/>
      <c r="B215" s="11" t="str">
        <f>CONCATENATE("     ","Training                                          ")</f>
        <v xml:space="preserve">     Training                                          </v>
      </c>
      <c r="C215" s="11"/>
      <c r="D215" s="1">
        <f>SUM(OSRRefD21_23x_0)</f>
        <v>131.63</v>
      </c>
      <c r="E215" s="1">
        <f>SUM(OSRRefD21_23x_1)</f>
        <v>0</v>
      </c>
      <c r="F215" s="1">
        <f>SUM(OSRRefD21_23x_2)</f>
        <v>0</v>
      </c>
      <c r="G215" s="1">
        <f>SUM(OSRRefD21_23x_3)</f>
        <v>14</v>
      </c>
      <c r="H215" s="1">
        <f>SUM(OSRRefD21_23x_4)</f>
        <v>0</v>
      </c>
      <c r="I215" s="1">
        <f>SUM(OSRRefD21_23x_5)</f>
        <v>0</v>
      </c>
      <c r="J215" s="1">
        <f>SUM(OSRRefD21_23x_6)</f>
        <v>0</v>
      </c>
      <c r="K215" s="1">
        <f>SUM(OSRRefD21_23x_7)</f>
        <v>750</v>
      </c>
      <c r="L215" s="1">
        <f>SUM(OSRRefD21_23x_8)</f>
        <v>0</v>
      </c>
      <c r="M215" s="1">
        <f>SUM(OSRRefD21_23x_9)</f>
        <v>0</v>
      </c>
      <c r="N215" s="1">
        <f>SUM(OSRRefE21_23x_0)</f>
        <v>0</v>
      </c>
      <c r="O215" s="1">
        <f>SUM(OSRRefE21_23x_1)</f>
        <v>0</v>
      </c>
      <c r="Q215" s="2">
        <f>SUM(OSRRefD20_23x)+IFERROR(SUM(OSRRefE20_23x),0)</f>
        <v>895.63</v>
      </c>
    </row>
    <row r="216" spans="1:17" s="34" customFormat="1" hidden="1" outlineLevel="1" x14ac:dyDescent="0.25">
      <c r="A216" s="35"/>
      <c r="B216" s="10" t="str">
        <f>CONCATENATE("          ","6376", " - ","TRAINING")</f>
        <v xml:space="preserve">          6376 - TRAINING</v>
      </c>
      <c r="C216" s="11"/>
      <c r="D216" s="2">
        <v>131.63</v>
      </c>
      <c r="E216" s="2"/>
      <c r="F216" s="2"/>
      <c r="G216" s="2">
        <v>14</v>
      </c>
      <c r="H216" s="2"/>
      <c r="I216" s="2"/>
      <c r="J216" s="2"/>
      <c r="K216" s="2">
        <v>750</v>
      </c>
      <c r="L216" s="2"/>
      <c r="M216" s="2"/>
      <c r="N216" s="2">
        <v>0</v>
      </c>
      <c r="O216" s="2">
        <v>0</v>
      </c>
      <c r="P216" s="9"/>
      <c r="Q216" s="2">
        <f>SUM(OSRRefD21_23_0x)+IFERROR(SUM(OSRRefE21_23_0x),0)</f>
        <v>895.63</v>
      </c>
    </row>
    <row r="217" spans="1:17" s="34" customFormat="1" collapsed="1" x14ac:dyDescent="0.25">
      <c r="A217" s="35"/>
      <c r="B217" s="11" t="str">
        <f>CONCATENATE("     ","Travel                                            ")</f>
        <v xml:space="preserve">     Travel                                            </v>
      </c>
      <c r="C217" s="11"/>
      <c r="D217" s="1">
        <f>SUM(OSRRefD21_24x_0)</f>
        <v>275.20999999999998</v>
      </c>
      <c r="E217" s="1">
        <f>SUM(OSRRefD21_24x_1)</f>
        <v>25.76</v>
      </c>
      <c r="F217" s="1">
        <f>SUM(OSRRefD21_24x_2)</f>
        <v>0</v>
      </c>
      <c r="G217" s="1">
        <f>SUM(OSRRefD21_24x_3)</f>
        <v>80.959999999999994</v>
      </c>
      <c r="H217" s="1">
        <f>SUM(OSRRefD21_24x_4)</f>
        <v>299</v>
      </c>
      <c r="I217" s="1">
        <f>SUM(OSRRefD21_24x_5)</f>
        <v>0</v>
      </c>
      <c r="J217" s="1">
        <f>SUM(OSRRefD21_24x_6)</f>
        <v>129.38</v>
      </c>
      <c r="K217" s="1">
        <f>SUM(OSRRefD21_24x_7)</f>
        <v>0</v>
      </c>
      <c r="L217" s="1">
        <f>SUM(OSRRefD21_24x_8)</f>
        <v>93.02</v>
      </c>
      <c r="M217" s="1">
        <f>SUM(OSRRefD21_24x_9)</f>
        <v>69.069999999999993</v>
      </c>
      <c r="N217" s="1">
        <f>SUM(OSRRefE21_24x_0)</f>
        <v>25</v>
      </c>
      <c r="O217" s="1">
        <f>SUM(OSRRefE21_24x_1)</f>
        <v>25</v>
      </c>
      <c r="Q217" s="2">
        <f>SUM(OSRRefD20_24x)+IFERROR(SUM(OSRRefE20_24x),0)</f>
        <v>1022.3999999999999</v>
      </c>
    </row>
    <row r="218" spans="1:17" s="34" customFormat="1" hidden="1" outlineLevel="1" x14ac:dyDescent="0.25">
      <c r="A218" s="35"/>
      <c r="B218" s="10" t="str">
        <f>CONCATENATE("          ","6292", " - ","TRAVEL/CONFERENCE")</f>
        <v xml:space="preserve">          6292 - TRAVEL/CONFERENCE</v>
      </c>
      <c r="C218" s="11"/>
      <c r="D218" s="2">
        <v>0.16</v>
      </c>
      <c r="E218" s="2"/>
      <c r="F218" s="2"/>
      <c r="G218" s="2"/>
      <c r="H218" s="2">
        <v>299</v>
      </c>
      <c r="I218" s="2"/>
      <c r="J218" s="2"/>
      <c r="K218" s="2"/>
      <c r="L218" s="2"/>
      <c r="M218" s="2"/>
      <c r="N218" s="2"/>
      <c r="O218" s="2"/>
      <c r="P218" s="9"/>
      <c r="Q218" s="2">
        <f>SUM(OSRRefD21_24_0x)+IFERROR(SUM(OSRRefE21_24_0x),0)</f>
        <v>299.16000000000003</v>
      </c>
    </row>
    <row r="219" spans="1:17" s="34" customFormat="1" hidden="1" outlineLevel="1" x14ac:dyDescent="0.25">
      <c r="A219" s="35"/>
      <c r="B219" s="10" t="str">
        <f>CONCATENATE("          ","6294", " - ","TRAVEL OPERATIONAL")</f>
        <v xml:space="preserve">          6294 - TRAVEL OPERATIONAL</v>
      </c>
      <c r="C219" s="11"/>
      <c r="D219" s="2">
        <v>215.16</v>
      </c>
      <c r="E219" s="2">
        <v>25.76</v>
      </c>
      <c r="F219" s="2"/>
      <c r="G219" s="2">
        <v>80.959999999999994</v>
      </c>
      <c r="H219" s="2"/>
      <c r="I219" s="2"/>
      <c r="J219" s="2">
        <v>129.38</v>
      </c>
      <c r="K219" s="2"/>
      <c r="L219" s="2">
        <v>93.02</v>
      </c>
      <c r="M219" s="2">
        <v>69.069999999999993</v>
      </c>
      <c r="N219" s="2">
        <v>0</v>
      </c>
      <c r="O219" s="2">
        <v>0</v>
      </c>
      <c r="P219" s="9"/>
      <c r="Q219" s="2">
        <f>SUM(OSRRefD21_24_1x)+IFERROR(SUM(OSRRefE21_24_1x),0)</f>
        <v>613.34999999999991</v>
      </c>
    </row>
    <row r="220" spans="1:17" s="34" customFormat="1" hidden="1" outlineLevel="1" x14ac:dyDescent="0.25">
      <c r="A220" s="35"/>
      <c r="B220" s="10" t="str">
        <f>CONCATENATE("          ","6298", " - ","VEHICLE MILEAGE")</f>
        <v xml:space="preserve">          6298 - VEHICLE MILEAGE</v>
      </c>
      <c r="C220" s="11"/>
      <c r="D220" s="2">
        <v>59.89</v>
      </c>
      <c r="E220" s="2"/>
      <c r="F220" s="2"/>
      <c r="G220" s="2"/>
      <c r="H220" s="2"/>
      <c r="I220" s="2"/>
      <c r="J220" s="2"/>
      <c r="K220" s="2"/>
      <c r="L220" s="2"/>
      <c r="M220" s="2"/>
      <c r="N220" s="2">
        <v>25</v>
      </c>
      <c r="O220" s="2">
        <v>25</v>
      </c>
      <c r="P220" s="9"/>
      <c r="Q220" s="2">
        <f>SUM(OSRRefD21_24_2x)+IFERROR(SUM(OSRRefE21_24_2x),0)</f>
        <v>109.89</v>
      </c>
    </row>
    <row r="221" spans="1:17" s="34" customFormat="1" collapsed="1" x14ac:dyDescent="0.25">
      <c r="A221" s="35"/>
      <c r="B221" s="11" t="str">
        <f>CONCATENATE("     ","Utilities                                         ")</f>
        <v xml:space="preserve">     Utilities                                         </v>
      </c>
      <c r="C221" s="11"/>
      <c r="D221" s="1">
        <f>SUM(OSRRefD21_25x_0)</f>
        <v>6211.46</v>
      </c>
      <c r="E221" s="1">
        <f>SUM(OSRRefD21_25x_1)</f>
        <v>6209.91</v>
      </c>
      <c r="F221" s="1">
        <f>SUM(OSRRefD21_25x_2)</f>
        <v>6211.01</v>
      </c>
      <c r="G221" s="1">
        <f>SUM(OSRRefD21_25x_3)</f>
        <v>7089.05</v>
      </c>
      <c r="H221" s="1">
        <f>SUM(OSRRefD21_25x_4)</f>
        <v>7286.38</v>
      </c>
      <c r="I221" s="1">
        <f>SUM(OSRRefD21_25x_5)</f>
        <v>7311.61</v>
      </c>
      <c r="J221" s="1">
        <f>SUM(OSRRefD21_25x_6)</f>
        <v>7301.61</v>
      </c>
      <c r="K221" s="1">
        <f>SUM(OSRRefD21_25x_7)</f>
        <v>7297.14</v>
      </c>
      <c r="L221" s="1">
        <f>SUM(OSRRefD21_25x_8)</f>
        <v>2247.4499999999998</v>
      </c>
      <c r="M221" s="1">
        <f>SUM(OSRRefD21_25x_9)</f>
        <v>7297.93</v>
      </c>
      <c r="N221" s="1">
        <f>SUM(OSRRefE21_25x_0)</f>
        <v>6955</v>
      </c>
      <c r="O221" s="1">
        <f>SUM(OSRRefE21_25x_1)</f>
        <v>6955</v>
      </c>
      <c r="Q221" s="2">
        <f>SUM(OSRRefD20_25x)+IFERROR(SUM(OSRRefE20_25x),0)</f>
        <v>78373.549999999988</v>
      </c>
    </row>
    <row r="222" spans="1:17" s="34" customFormat="1" hidden="1" outlineLevel="1" x14ac:dyDescent="0.25">
      <c r="A222" s="35"/>
      <c r="B222" s="10" t="str">
        <f>CONCATENATE("          ","6274", " - ","UTILITIES")</f>
        <v xml:space="preserve">          6274 - UTILITIES</v>
      </c>
      <c r="C222" s="11"/>
      <c r="D222" s="2">
        <v>6211.46</v>
      </c>
      <c r="E222" s="2">
        <v>6209.91</v>
      </c>
      <c r="F222" s="2">
        <v>6211.01</v>
      </c>
      <c r="G222" s="2">
        <v>7089.05</v>
      </c>
      <c r="H222" s="2">
        <v>7286.38</v>
      </c>
      <c r="I222" s="2">
        <v>7311.61</v>
      </c>
      <c r="J222" s="2">
        <v>7301.61</v>
      </c>
      <c r="K222" s="2">
        <v>7297.14</v>
      </c>
      <c r="L222" s="2">
        <v>2247.4499999999998</v>
      </c>
      <c r="M222" s="2">
        <v>7297.93</v>
      </c>
      <c r="N222" s="2">
        <v>6955</v>
      </c>
      <c r="O222" s="2">
        <v>6955</v>
      </c>
      <c r="P222" s="9"/>
      <c r="Q222" s="2">
        <f>SUM(OSRRefD21_25_0x)+IFERROR(SUM(OSRRefE21_25_0x),0)</f>
        <v>78373.549999999988</v>
      </c>
    </row>
    <row r="223" spans="1:17" s="30" customFormat="1" x14ac:dyDescent="0.25">
      <c r="A223" s="21"/>
      <c r="B223" s="21"/>
      <c r="C223" s="2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Q223" s="1"/>
    </row>
    <row r="224" spans="1:17" s="9" customFormat="1" x14ac:dyDescent="0.25">
      <c r="A224" s="23"/>
      <c r="B224" s="16" t="s">
        <v>291</v>
      </c>
      <c r="C224" s="22"/>
      <c r="D224" s="3">
        <f>--197872.55</f>
        <v>197872.55</v>
      </c>
      <c r="E224" s="3">
        <f>--56868.1</f>
        <v>56868.1</v>
      </c>
      <c r="F224" s="3">
        <f>--166664.99</f>
        <v>166664.99</v>
      </c>
      <c r="G224" s="3">
        <f>--30589.78</f>
        <v>30589.78</v>
      </c>
      <c r="H224" s="3">
        <f>--72384.83</f>
        <v>72384.83</v>
      </c>
      <c r="I224" s="3">
        <f>--20009.02</f>
        <v>20009.02</v>
      </c>
      <c r="J224" s="3">
        <f>--31989.34</f>
        <v>31989.34</v>
      </c>
      <c r="K224" s="3">
        <f>--196876.8</f>
        <v>196876.79999999999</v>
      </c>
      <c r="L224" s="3">
        <f>--189046.82</f>
        <v>189046.82</v>
      </c>
      <c r="M224" s="3">
        <f>--30690.94</f>
        <v>30690.94</v>
      </c>
      <c r="N224" s="3">
        <v>6550</v>
      </c>
      <c r="O224" s="3">
        <v>220370</v>
      </c>
      <c r="Q224" s="2">
        <f>SUM(OSRRefD23_0x)+IFERROR(SUM(OSRRefE23_0x),0)</f>
        <v>1219913.17</v>
      </c>
    </row>
    <row r="225" spans="1:17" x14ac:dyDescent="0.25">
      <c r="A225" s="5"/>
      <c r="B225" s="6"/>
      <c r="C225" s="6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</row>
    <row r="226" spans="1:17" s="15" customFormat="1" x14ac:dyDescent="0.25">
      <c r="A226" s="6"/>
      <c r="B226" s="17" t="s">
        <v>274</v>
      </c>
      <c r="C226" s="17"/>
      <c r="D226" s="8">
        <f t="shared" ref="D226:O226" si="40">IFERROR(+D122-D125+D224, 0)</f>
        <v>-69504.480000000156</v>
      </c>
      <c r="E226" s="8">
        <f t="shared" si="40"/>
        <v>321534.3600000001</v>
      </c>
      <c r="F226" s="8">
        <f t="shared" si="40"/>
        <v>14391.639999999927</v>
      </c>
      <c r="G226" s="8">
        <f t="shared" si="40"/>
        <v>-256177.74999999997</v>
      </c>
      <c r="H226" s="8">
        <f t="shared" si="40"/>
        <v>-139290.12000000005</v>
      </c>
      <c r="I226" s="8">
        <f t="shared" si="40"/>
        <v>-148555.46000000008</v>
      </c>
      <c r="J226" s="8">
        <f t="shared" si="40"/>
        <v>124558.21999999983</v>
      </c>
      <c r="K226" s="8">
        <f t="shared" si="40"/>
        <v>-919.54999999995925</v>
      </c>
      <c r="L226" s="8">
        <f t="shared" si="40"/>
        <v>33778.540000000037</v>
      </c>
      <c r="M226" s="8">
        <f t="shared" si="40"/>
        <v>-25324.229999999898</v>
      </c>
      <c r="N226" s="8">
        <f t="shared" si="40"/>
        <v>-162847.31238948274</v>
      </c>
      <c r="O226" s="8">
        <f t="shared" si="40"/>
        <v>31501.052325454744</v>
      </c>
      <c r="Q226" s="8">
        <f>IFERROR(+Q122-Q125+Q224, 0)</f>
        <v>-276855.09006402828</v>
      </c>
    </row>
    <row r="227" spans="1:17" s="6" customFormat="1" x14ac:dyDescent="0.25">
      <c r="B227" s="16"/>
      <c r="C227" s="16"/>
      <c r="D227" s="4">
        <f t="shared" ref="D227:O227" si="41">IFERROR(D226/D10, 0)</f>
        <v>-0.30528975950647347</v>
      </c>
      <c r="E227" s="4">
        <f t="shared" si="41"/>
        <v>0.20122142936795859</v>
      </c>
      <c r="F227" s="4">
        <f t="shared" si="41"/>
        <v>3.8801173360440713E-2</v>
      </c>
      <c r="G227" s="4">
        <f t="shared" si="41"/>
        <v>-1.6000206234464098</v>
      </c>
      <c r="H227" s="4">
        <f t="shared" si="41"/>
        <v>-1.2551751034894543</v>
      </c>
      <c r="I227" s="4">
        <f t="shared" si="41"/>
        <v>-0.63585307373047906</v>
      </c>
      <c r="J227" s="4">
        <f t="shared" si="41"/>
        <v>0.10566314269903596</v>
      </c>
      <c r="K227" s="4">
        <f t="shared" si="41"/>
        <v>-4.5303798537890622E-3</v>
      </c>
      <c r="L227" s="4">
        <f t="shared" si="41"/>
        <v>0.18358379092674271</v>
      </c>
      <c r="M227" s="4">
        <f t="shared" si="41"/>
        <v>-5.7749564778521674E-2</v>
      </c>
      <c r="N227" s="4">
        <f t="shared" si="41"/>
        <v>-0.62692054084860971</v>
      </c>
      <c r="O227" s="4">
        <f t="shared" si="41"/>
        <v>0.1665243010333928</v>
      </c>
      <c r="P227" s="18"/>
      <c r="Q227" s="4">
        <f>IFERROR(Q226/Q10, 0)</f>
        <v>-5.371198645306139E-2</v>
      </c>
    </row>
    <row r="228" spans="1:17" x14ac:dyDescent="0.25">
      <c r="A228" s="5"/>
      <c r="B228" s="6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5" customFormat="1" x14ac:dyDescent="0.25">
      <c r="A229" s="25"/>
      <c r="B229" s="6" t="s">
        <v>125</v>
      </c>
      <c r="C229" s="6"/>
      <c r="D229" s="3">
        <v>114653.25</v>
      </c>
      <c r="E229" s="3">
        <v>193571.74</v>
      </c>
      <c r="F229" s="3">
        <v>98685.32</v>
      </c>
      <c r="G229" s="3">
        <v>103579.3</v>
      </c>
      <c r="H229" s="3">
        <v>-118392.78</v>
      </c>
      <c r="I229" s="3">
        <v>107682.57</v>
      </c>
      <c r="J229" s="3">
        <v>204547.76</v>
      </c>
      <c r="K229" s="3">
        <v>104252.68</v>
      </c>
      <c r="L229" s="3">
        <v>70811.44</v>
      </c>
      <c r="M229" s="3">
        <v>105021</v>
      </c>
      <c r="N229" s="3">
        <v>132325</v>
      </c>
      <c r="O229" s="3">
        <v>98072</v>
      </c>
      <c r="Q229" s="2">
        <f>SUM(OSRRefD28_0x)+IFERROR(SUM(OSRRefE28_0x),0)</f>
        <v>1214809.2799999998</v>
      </c>
    </row>
    <row r="230" spans="1:17" x14ac:dyDescent="0.25">
      <c r="A230" s="5"/>
      <c r="B230" s="6"/>
      <c r="C230" s="6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Q230" s="3"/>
    </row>
    <row r="231" spans="1:17" s="15" customFormat="1" ht="15.75" thickBot="1" x14ac:dyDescent="0.3">
      <c r="A231" s="6"/>
      <c r="B231" s="17" t="s">
        <v>124</v>
      </c>
      <c r="C231" s="17"/>
      <c r="D231" s="7">
        <f t="shared" ref="D231:O231" si="42">IFERROR(+D226-D229, 0)</f>
        <v>-184157.73000000016</v>
      </c>
      <c r="E231" s="7">
        <f t="shared" si="42"/>
        <v>127962.62000000011</v>
      </c>
      <c r="F231" s="7">
        <f t="shared" si="42"/>
        <v>-84293.68000000008</v>
      </c>
      <c r="G231" s="7">
        <f t="shared" si="42"/>
        <v>-359757.05</v>
      </c>
      <c r="H231" s="7">
        <f t="shared" si="42"/>
        <v>-20897.340000000055</v>
      </c>
      <c r="I231" s="7">
        <f t="shared" si="42"/>
        <v>-256238.03000000009</v>
      </c>
      <c r="J231" s="7">
        <f t="shared" si="42"/>
        <v>-79989.540000000183</v>
      </c>
      <c r="K231" s="7">
        <f t="shared" si="42"/>
        <v>-105172.22999999995</v>
      </c>
      <c r="L231" s="7">
        <f t="shared" si="42"/>
        <v>-37032.899999999965</v>
      </c>
      <c r="M231" s="7">
        <f t="shared" si="42"/>
        <v>-130345.22999999989</v>
      </c>
      <c r="N231" s="7">
        <f t="shared" si="42"/>
        <v>-295172.31238948274</v>
      </c>
      <c r="O231" s="7">
        <f t="shared" si="42"/>
        <v>-66570.947674545256</v>
      </c>
      <c r="Q231" s="7">
        <f>IFERROR(+Q226-Q229, 0)</f>
        <v>-1491664.3700640281</v>
      </c>
    </row>
    <row r="232" spans="1:17" ht="15.75" thickTop="1" x14ac:dyDescent="0.25">
      <c r="A232" s="5"/>
      <c r="B232" s="5"/>
      <c r="C232" s="5"/>
      <c r="D232" s="4">
        <f t="shared" ref="D232:O232" si="43">IFERROR(D231/D10, 0)</f>
        <v>-0.80888986009186747</v>
      </c>
      <c r="E232" s="4">
        <f t="shared" si="43"/>
        <v>8.0081087763276493E-2</v>
      </c>
      <c r="F232" s="4">
        <f t="shared" si="43"/>
        <v>-0.22726344536616633</v>
      </c>
      <c r="G232" s="4">
        <f t="shared" si="43"/>
        <v>-2.2469504062325525</v>
      </c>
      <c r="H232" s="4">
        <f t="shared" si="43"/>
        <v>-0.18831070643886566</v>
      </c>
      <c r="I232" s="4">
        <f t="shared" si="43"/>
        <v>-1.0967603545648383</v>
      </c>
      <c r="J232" s="4">
        <f t="shared" si="43"/>
        <v>-6.7855386657342046E-2</v>
      </c>
      <c r="K232" s="4">
        <f t="shared" si="43"/>
        <v>-0.51815578486225922</v>
      </c>
      <c r="L232" s="4">
        <f t="shared" si="43"/>
        <v>-0.20127098953983671</v>
      </c>
      <c r="M232" s="4">
        <f t="shared" si="43"/>
        <v>-0.29724024396620669</v>
      </c>
      <c r="N232" s="4">
        <f t="shared" si="43"/>
        <v>-1.1363379782662011</v>
      </c>
      <c r="O232" s="4">
        <f t="shared" si="43"/>
        <v>-0.35191460958516352</v>
      </c>
      <c r="P232" s="18"/>
      <c r="Q232" s="4">
        <f>IFERROR(Q231/Q10, 0)</f>
        <v>-0.28939419686618012</v>
      </c>
    </row>
    <row r="233" spans="1:17" x14ac:dyDescent="0.25">
      <c r="A233" s="5"/>
      <c r="B233" s="5"/>
      <c r="C233" s="5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</row>
    <row r="234" spans="1:17" x14ac:dyDescent="0.25">
      <c r="A234" s="5"/>
      <c r="B234" s="5"/>
      <c r="C234" s="5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Q234" s="3"/>
    </row>
    <row r="235" spans="1:17" s="15" customFormat="1" ht="15.75" thickBot="1" x14ac:dyDescent="0.3">
      <c r="A235" s="6"/>
      <c r="B235" s="17" t="s">
        <v>292</v>
      </c>
      <c r="C235" s="17"/>
      <c r="D235" s="7">
        <f t="shared" ref="D235:O235" si="44">IFERROR(SUM(D231:D234), 0)</f>
        <v>-184158.53888986024</v>
      </c>
      <c r="E235" s="7">
        <f t="shared" si="44"/>
        <v>127962.70008108788</v>
      </c>
      <c r="F235" s="7">
        <f t="shared" si="44"/>
        <v>-84293.90726344545</v>
      </c>
      <c r="G235" s="7">
        <f t="shared" si="44"/>
        <v>-359759.29695040622</v>
      </c>
      <c r="H235" s="7">
        <f t="shared" si="44"/>
        <v>-20897.528310706493</v>
      </c>
      <c r="I235" s="7">
        <f t="shared" si="44"/>
        <v>-256239.12676035464</v>
      </c>
      <c r="J235" s="7">
        <f t="shared" si="44"/>
        <v>-79989.607855386843</v>
      </c>
      <c r="K235" s="7">
        <f t="shared" si="44"/>
        <v>-105172.74815578481</v>
      </c>
      <c r="L235" s="7">
        <f t="shared" si="44"/>
        <v>-37033.101270989508</v>
      </c>
      <c r="M235" s="7">
        <f t="shared" si="44"/>
        <v>-130345.52724024386</v>
      </c>
      <c r="N235" s="7">
        <f t="shared" si="44"/>
        <v>-295173.44872746099</v>
      </c>
      <c r="O235" s="7">
        <f t="shared" si="44"/>
        <v>-66571.299589154834</v>
      </c>
      <c r="Q235" s="7">
        <f>IFERROR(SUM(Q231:Q234), 0)</f>
        <v>-1491664.6594582249</v>
      </c>
    </row>
    <row r="236" spans="1:17" ht="15.75" thickTop="1" x14ac:dyDescent="0.25">
      <c r="A236" s="5"/>
      <c r="C236" s="5"/>
      <c r="D236" s="4">
        <f t="shared" ref="D236:O236" si="45">IFERROR(D235/D10, 0)</f>
        <v>-0.80889341303968965</v>
      </c>
      <c r="E236" s="4">
        <f t="shared" si="45"/>
        <v>8.0081137879323028E-2</v>
      </c>
      <c r="F236" s="4">
        <f t="shared" si="45"/>
        <v>-0.22726405808913203</v>
      </c>
      <c r="G236" s="4">
        <f t="shared" si="45"/>
        <v>-2.2469644401093816</v>
      </c>
      <c r="H236" s="4">
        <f t="shared" si="45"/>
        <v>-0.18831240334967628</v>
      </c>
      <c r="I236" s="4">
        <f t="shared" si="45"/>
        <v>-1.0967650489627594</v>
      </c>
      <c r="J236" s="4">
        <f t="shared" si="45"/>
        <v>-6.7855444219287006E-2</v>
      </c>
      <c r="K236" s="4">
        <f t="shared" si="45"/>
        <v>-0.51815833767888564</v>
      </c>
      <c r="L236" s="4">
        <f t="shared" si="45"/>
        <v>-0.20127208343232772</v>
      </c>
      <c r="M236" s="4">
        <f t="shared" si="45"/>
        <v>-0.2972409217950972</v>
      </c>
      <c r="N236" s="4">
        <f t="shared" si="45"/>
        <v>-1.1363423528770527</v>
      </c>
      <c r="O236" s="4">
        <f t="shared" si="45"/>
        <v>-0.35191646991458297</v>
      </c>
      <c r="P236" s="18"/>
      <c r="Q236" s="4">
        <f>IFERROR(Q235/Q10, 0)</f>
        <v>-0.28939425301084837</v>
      </c>
    </row>
    <row r="237" spans="1:17" x14ac:dyDescent="0.25">
      <c r="A237" s="5"/>
      <c r="B237" s="27">
        <v>44330.012695486112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Q237" s="13"/>
    </row>
    <row r="238" spans="1:17" x14ac:dyDescent="0.25">
      <c r="A238" s="5"/>
      <c r="B238" s="31" t="s">
        <v>54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Q238" s="13"/>
    </row>
    <row r="239" spans="1:17" x14ac:dyDescent="0.25">
      <c r="A239" s="5"/>
      <c r="B239" s="26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Q239" s="13"/>
    </row>
    <row r="240" spans="1:17" x14ac:dyDescent="0.25"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Q24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3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255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202840.15000000002</v>
      </c>
      <c r="L10" s="3">
        <f>SUM(OSRRefD11x_8)</f>
        <v>183894.67000000007</v>
      </c>
      <c r="M10" s="3">
        <f>SUM(OSRRefD11x_9)</f>
        <v>438466.21000000008</v>
      </c>
      <c r="N10" s="3">
        <f>SUM(OSRRefE11x_0)</f>
        <v>259026.5</v>
      </c>
      <c r="O10" s="3">
        <f>SUM(OSRRefE11x_1)</f>
        <v>189016.9</v>
      </c>
      <c r="P10" s="24"/>
      <c r="Q10" s="3">
        <f>SUM(OSRRefG11x)</f>
        <v>5150682.8199999984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v>258826.5</v>
      </c>
      <c r="O11" s="2">
        <v>188816.9</v>
      </c>
      <c r="Q11" s="2">
        <f>SUM(OSRRefD11_0x)+IFERROR(SUM(OSRRefE11_0x),0)</f>
        <v>314548.21000000002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/>
      <c r="O12" s="2"/>
      <c r="Q12" s="2">
        <f>SUM(OSRRefD11_1x)+IFERROR(SUM(OSRRefE11_1x),0)</f>
        <v>1263810.3599999999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/>
      <c r="O13" s="2"/>
      <c r="Q13" s="2">
        <f>SUM(OSRRefD11_2x)+IFERROR(SUM(OSRRefE11_2x),0)</f>
        <v>578768.63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/>
      <c r="O19" s="2"/>
      <c r="Q19" s="2">
        <f>SUM(OSRRefD11_8x)+IFERROR(SUM(OSRRefE11_8x),0)</f>
        <v>486.17</v>
      </c>
    </row>
    <row r="20" spans="1:17" s="9" customFormat="1" hidden="1" outlineLevel="1" x14ac:dyDescent="0.25">
      <c r="A20" s="23"/>
      <c r="B20" s="10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/>
      <c r="O20" s="2"/>
      <c r="Q20" s="2">
        <f>SUM(OSRRefD11_9x)+IFERROR(SUM(OSRRefE11_9x),0)</f>
        <v>64070.97</v>
      </c>
    </row>
    <row r="21" spans="1:17" s="9" customFormat="1" hidden="1" outlineLevel="1" x14ac:dyDescent="0.25">
      <c r="A21" s="23"/>
      <c r="B21" s="10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/>
      <c r="O21" s="2"/>
      <c r="Q21" s="2">
        <f>SUM(OSRRefD11_10x)+IFERROR(SUM(OSRRefE11_10x),0)</f>
        <v>46900.170000000006</v>
      </c>
    </row>
    <row r="22" spans="1:17" s="9" customFormat="1" hidden="1" outlineLevel="1" x14ac:dyDescent="0.25">
      <c r="A22" s="23"/>
      <c r="B22" s="10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/>
      <c r="O22" s="2"/>
      <c r="Q22" s="2">
        <f>SUM(OSRRefD11_11x)+IFERROR(SUM(OSRRefE11_11x),0)</f>
        <v>4210.59</v>
      </c>
    </row>
    <row r="23" spans="1:17" s="9" customFormat="1" hidden="1" outlineLevel="1" x14ac:dyDescent="0.25">
      <c r="A23" s="23"/>
      <c r="B23" s="10" t="str">
        <f>CONCATENATE("          ","4034", " - ","TAXABLE SALES-SODA")</f>
        <v xml:space="preserve">          4034 - TAXABLE SALES-SODA</v>
      </c>
      <c r="C23" s="22"/>
      <c r="D23" s="2">
        <f>--6.78</f>
        <v>6.78</v>
      </c>
      <c r="E23" s="2">
        <f t="shared" ref="E23:M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3"/>
      <c r="B24" s="10" t="str">
        <f>CONCATENATE("          ","4040", " - ","TAXABLE SALES-LOGO CLOTHING")</f>
        <v xml:space="preserve">          4040 - TAXABLE SALES-LOGO CLOTHING</v>
      </c>
      <c r="C24" s="22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/>
      <c r="O24" s="2"/>
      <c r="Q24" s="2">
        <f>SUM(OSRRefD11_13x)+IFERROR(SUM(OSRRefE11_13x),0)</f>
        <v>913180.72999999986</v>
      </c>
    </row>
    <row r="25" spans="1:17" s="9" customFormat="1" hidden="1" outlineLevel="1" x14ac:dyDescent="0.25">
      <c r="A25" s="23"/>
      <c r="B25" s="10" t="str">
        <f>CONCATENATE("          ","4041", " - ","TAXABLE SALES-LOGO GIFTS")</f>
        <v xml:space="preserve">          4041 - TAXABLE SALES-LOGO GIFTS</v>
      </c>
      <c r="C25" s="22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/>
      <c r="O25" s="2"/>
      <c r="Q25" s="2">
        <f>SUM(OSRRefD11_14x)+IFERROR(SUM(OSRRefE11_14x),0)</f>
        <v>440456.98000000004</v>
      </c>
    </row>
    <row r="26" spans="1:17" s="9" customFormat="1" hidden="1" outlineLevel="1" x14ac:dyDescent="0.25">
      <c r="A26" s="23"/>
      <c r="B26" s="10" t="str">
        <f>CONCATENATE("          ","4042", " - ","TAXABLE SALES-EVERYDAY GIFTS")</f>
        <v xml:space="preserve">          4042 - TAXABLE SALES-EVERYDAY GIFTS</v>
      </c>
      <c r="C26" s="22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/>
      <c r="O26" s="2"/>
      <c r="Q26" s="2">
        <f>SUM(OSRRefD11_15x)+IFERROR(SUM(OSRRefE11_15x),0)</f>
        <v>100678.51999999999</v>
      </c>
    </row>
    <row r="27" spans="1:17" s="9" customFormat="1" hidden="1" outlineLevel="1" x14ac:dyDescent="0.25">
      <c r="A27" s="23"/>
      <c r="B27" s="10" t="str">
        <f>CONCATENATE("          ","4043", " - ","TAXABLE SALES-CARDS")</f>
        <v xml:space="preserve">          4043 - TAXABLE SALES-CARDS</v>
      </c>
      <c r="C27" s="22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/>
      <c r="O27" s="2"/>
      <c r="Q27" s="2">
        <f>SUM(OSRRefD11_16x)+IFERROR(SUM(OSRRefE11_16x),0)</f>
        <v>136859.38</v>
      </c>
    </row>
    <row r="28" spans="1:17" s="9" customFormat="1" hidden="1" outlineLevel="1" x14ac:dyDescent="0.25">
      <c r="A28" s="23"/>
      <c r="B28" s="10" t="str">
        <f>CONCATENATE("          ","4044", " - ","TAXABLE SALES-ACCESSORIES")</f>
        <v xml:space="preserve">          4044 - TAXABLE SALES-ACCESSORIES</v>
      </c>
      <c r="C28" s="22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/>
      <c r="O28" s="2"/>
      <c r="Q28" s="2">
        <f>SUM(OSRRefD11_17x)+IFERROR(SUM(OSRRefE11_17x),0)</f>
        <v>36092.229999999996</v>
      </c>
    </row>
    <row r="29" spans="1:17" s="9" customFormat="1" hidden="1" outlineLevel="1" x14ac:dyDescent="0.25">
      <c r="A29" s="23"/>
      <c r="B29" s="10" t="str">
        <f>CONCATENATE("          ","4045", " - ","TAXABLE SALES-SPECIAL ORDERS")</f>
        <v xml:space="preserve">          4045 - TAXABLE SALES-SPECIAL ORDERS</v>
      </c>
      <c r="C29" s="22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/>
      <c r="O29" s="2"/>
      <c r="Q29" s="2">
        <f>SUM(OSRRefD11_18x)+IFERROR(SUM(OSRRefE11_18x),0)</f>
        <v>207242.34</v>
      </c>
    </row>
    <row r="30" spans="1:17" s="9" customFormat="1" hidden="1" outlineLevel="1" x14ac:dyDescent="0.25">
      <c r="A30" s="23"/>
      <c r="B30" s="10" t="str">
        <f>CONCATENATE("          ","4081", " - ","TAXABLE SALES-ELECTRONICS")</f>
        <v xml:space="preserve">          4081 - TAXABLE SALES-ELECTRONICS</v>
      </c>
      <c r="C30" s="22"/>
      <c r="D30" s="2">
        <f t="shared" ref="D30:E32" si="5">0</f>
        <v>0</v>
      </c>
      <c r="E30" s="2">
        <f t="shared" si="5"/>
        <v>0</v>
      </c>
      <c r="F30" s="2">
        <f>--71.95</f>
        <v>71.95</v>
      </c>
      <c r="G30" s="2">
        <f t="shared" ref="G30:J32" si="6">0</f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ref="K30:M31" si="7">0</f>
        <v>0</v>
      </c>
      <c r="L30" s="2">
        <f t="shared" si="7"/>
        <v>0</v>
      </c>
      <c r="M30" s="2">
        <f t="shared" si="7"/>
        <v>0</v>
      </c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25">
      <c r="A31" s="23"/>
      <c r="B31" s="10" t="str">
        <f>CONCATENATE("          ","4083", " - ","TAXABLE SALES-COMPUTER EQUIPME")</f>
        <v xml:space="preserve">          4083 - TAXABLE SALES-COMPUTER EQUIPME</v>
      </c>
      <c r="C31" s="22"/>
      <c r="D31" s="2">
        <f t="shared" si="5"/>
        <v>0</v>
      </c>
      <c r="E31" s="2">
        <f t="shared" si="5"/>
        <v>0</v>
      </c>
      <c r="F31" s="2">
        <f>--9.99</f>
        <v>9.99</v>
      </c>
      <c r="G31" s="2">
        <f t="shared" si="6"/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si="7"/>
        <v>0</v>
      </c>
      <c r="L31" s="2">
        <f t="shared" si="7"/>
        <v>0</v>
      </c>
      <c r="M31" s="2">
        <f t="shared" si="7"/>
        <v>0</v>
      </c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25">
      <c r="A32" s="23"/>
      <c r="B32" s="10" t="str">
        <f>CONCATENATE("          ","4095", " - ","TAXABLE SALES-CUSTOMER SERVICE")</f>
        <v xml:space="preserve">          4095 - TAXABLE SALES-CUSTOMER SERVICE</v>
      </c>
      <c r="C32" s="22"/>
      <c r="D32" s="2">
        <f t="shared" si="5"/>
        <v>0</v>
      </c>
      <c r="E32" s="2">
        <f t="shared" si="5"/>
        <v>0</v>
      </c>
      <c r="F32" s="2">
        <f>0</f>
        <v>0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>--139.85</f>
        <v>139.85</v>
      </c>
      <c r="L32" s="2">
        <f>--775.28</f>
        <v>775.28</v>
      </c>
      <c r="M32" s="2">
        <f>--2119.46</f>
        <v>2119.46</v>
      </c>
      <c r="N32" s="2"/>
      <c r="O32" s="2"/>
      <c r="Q32" s="2">
        <f>SUM(OSRRefD11_21x)+IFERROR(SUM(OSRRefE11_21x),0)</f>
        <v>3034.59</v>
      </c>
    </row>
    <row r="33" spans="1:17" s="9" customFormat="1" hidden="1" outlineLevel="1" x14ac:dyDescent="0.25">
      <c r="A33" s="23"/>
      <c r="B33" s="10" t="str">
        <f>CONCATENATE("          ","4100", " - ","NON-TAXABLE SALES")</f>
        <v xml:space="preserve">          4100 - NON-TAXABLE SALES</v>
      </c>
      <c r="C33" s="22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f>--5617.7</f>
        <v>5617.7</v>
      </c>
      <c r="L33" s="2">
        <f>--2050.54</f>
        <v>2050.54</v>
      </c>
      <c r="M33" s="2">
        <f>-12385.33</f>
        <v>-12385.33</v>
      </c>
      <c r="N33" s="2">
        <v>200</v>
      </c>
      <c r="O33" s="2">
        <v>200</v>
      </c>
      <c r="Q33" s="2">
        <f>SUM(OSRRefD11_22x)+IFERROR(SUM(OSRRefE11_22x),0)</f>
        <v>274238.76999999996</v>
      </c>
    </row>
    <row r="34" spans="1:17" s="9" customFormat="1" hidden="1" outlineLevel="1" x14ac:dyDescent="0.25">
      <c r="A34" s="23"/>
      <c r="B34" s="10" t="str">
        <f>CONCATENATE("          ","4101", " - ","NON-TAXABLE SALES-NEW TEXT")</f>
        <v xml:space="preserve">          4101 - NON-TAXABLE SALES-NEW TEXT</v>
      </c>
      <c r="C34" s="22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>
        <f>--6785.91</f>
        <v>6785.91</v>
      </c>
      <c r="L34" s="2">
        <f>--1044.17</f>
        <v>1044.17</v>
      </c>
      <c r="M34" s="2">
        <f>--741.03</f>
        <v>741.03</v>
      </c>
      <c r="N34" s="2"/>
      <c r="O34" s="2"/>
      <c r="Q34" s="2">
        <f>SUM(OSRRefD11_23x)+IFERROR(SUM(OSRRefE11_23x),0)</f>
        <v>112796.74</v>
      </c>
    </row>
    <row r="35" spans="1:17" s="9" customFormat="1" hidden="1" outlineLevel="1" x14ac:dyDescent="0.25">
      <c r="A35" s="23"/>
      <c r="B35" s="10" t="str">
        <f>CONCATENATE("          ","4102", " - ","NON-TAXABLE SALES-USED TEXT")</f>
        <v xml:space="preserve">          4102 - NON-TAXABLE SALES-USED TEXT</v>
      </c>
      <c r="C35" s="22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>
        <f>--3426.05</f>
        <v>3426.05</v>
      </c>
      <c r="L35" s="2">
        <f>--1572.06</f>
        <v>1572.06</v>
      </c>
      <c r="M35" s="2">
        <f>--743.99</f>
        <v>743.99</v>
      </c>
      <c r="N35" s="2"/>
      <c r="O35" s="2"/>
      <c r="Q35" s="2">
        <f>SUM(OSRRefD11_24x)+IFERROR(SUM(OSRRefE11_24x),0)</f>
        <v>48703.420000000006</v>
      </c>
    </row>
    <row r="36" spans="1:17" s="9" customFormat="1" hidden="1" outlineLevel="1" x14ac:dyDescent="0.25">
      <c r="A36" s="23"/>
      <c r="B36" s="10" t="str">
        <f>CONCATENATE("          ","4103", " - ","NON-TAXABLE SALES-RENTAL TEXT")</f>
        <v xml:space="preserve">          4103 - NON-TAXABLE SALES-RENTAL TEXT</v>
      </c>
      <c r="C36" s="22"/>
      <c r="D36" s="2">
        <f t="shared" ref="D36:E36" si="8">0</f>
        <v>0</v>
      </c>
      <c r="E36" s="2">
        <f t="shared" si="8"/>
        <v>0</v>
      </c>
      <c r="F36" s="2">
        <f>--284.97</f>
        <v>284.97000000000003</v>
      </c>
      <c r="G36" s="2">
        <f t="shared" ref="G36:I36" si="9">0</f>
        <v>0</v>
      </c>
      <c r="H36" s="2">
        <f t="shared" si="9"/>
        <v>0</v>
      </c>
      <c r="I36" s="2">
        <f t="shared" si="9"/>
        <v>0</v>
      </c>
      <c r="J36" s="2">
        <f>--853.98</f>
        <v>853.98</v>
      </c>
      <c r="K36" s="2">
        <f t="shared" ref="K36:M36" si="10">0</f>
        <v>0</v>
      </c>
      <c r="L36" s="2">
        <f t="shared" si="10"/>
        <v>0</v>
      </c>
      <c r="M36" s="2">
        <f t="shared" si="10"/>
        <v>0</v>
      </c>
      <c r="N36" s="2"/>
      <c r="O36" s="2"/>
      <c r="Q36" s="2">
        <f>SUM(OSRRefD11_25x)+IFERROR(SUM(OSRRefE11_25x),0)</f>
        <v>1138.95</v>
      </c>
    </row>
    <row r="37" spans="1:17" s="9" customFormat="1" hidden="1" outlineLevel="1" x14ac:dyDescent="0.25">
      <c r="A37" s="23"/>
      <c r="B37" s="10" t="str">
        <f>CONCATENATE("          ","4104", " - ","NON-TAXABLE SALES-DIGITAL TEXT")</f>
        <v xml:space="preserve">          4104 - NON-TAXABLE SALES-DIGITAL TEXT</v>
      </c>
      <c r="C37" s="22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>
        <f>--17705.92</f>
        <v>17705.919999999998</v>
      </c>
      <c r="L37" s="2">
        <f>--1097.13</f>
        <v>1097.1300000000001</v>
      </c>
      <c r="M37" s="2">
        <f>--3431.99</f>
        <v>3431.99</v>
      </c>
      <c r="N37" s="2"/>
      <c r="O37" s="2"/>
      <c r="Q37" s="2">
        <f>SUM(OSRRefD11_26x)+IFERROR(SUM(OSRRefE11_26x),0)</f>
        <v>480403.16999999993</v>
      </c>
    </row>
    <row r="38" spans="1:17" s="9" customFormat="1" hidden="1" outlineLevel="1" x14ac:dyDescent="0.25">
      <c r="A38" s="23"/>
      <c r="B38" s="10" t="str">
        <f>CONCATENATE("          ","4113", " - ","NON-TAXABLE SALES-TRADE BOOKS")</f>
        <v xml:space="preserve">          4113 - NON-TAXABLE SALES-TRADE BOOKS</v>
      </c>
      <c r="C38" s="22"/>
      <c r="D38" s="2">
        <f t="shared" ref="D38:F38" si="11">0</f>
        <v>0</v>
      </c>
      <c r="E38" s="2">
        <f t="shared" si="11"/>
        <v>0</v>
      </c>
      <c r="F38" s="2">
        <f t="shared" si="11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>
        <f>--3150</f>
        <v>3150</v>
      </c>
      <c r="L38" s="2">
        <f>--1250</f>
        <v>1250</v>
      </c>
      <c r="M38" s="2">
        <f>--738</f>
        <v>738</v>
      </c>
      <c r="N38" s="2"/>
      <c r="O38" s="2"/>
      <c r="Q38" s="2">
        <f>SUM(OSRRefD11_27x)+IFERROR(SUM(OSRRefE11_27x),0)</f>
        <v>12127.25</v>
      </c>
    </row>
    <row r="39" spans="1:17" s="9" customFormat="1" hidden="1" outlineLevel="1" x14ac:dyDescent="0.25">
      <c r="A39" s="23"/>
      <c r="B39" s="10" t="str">
        <f>CONCATENATE("          ","4118", " - ","NON-TAXABLE SALES-STUDY GUIDES")</f>
        <v xml:space="preserve">          4118 - NON-TAXABLE SALES-STUDY GUIDES</v>
      </c>
      <c r="C39" s="22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2">0</f>
        <v>0</v>
      </c>
      <c r="J39" s="2">
        <f>--538.3</f>
        <v>538.29999999999995</v>
      </c>
      <c r="K39" s="2">
        <f t="shared" ref="K39:M40" si="13">0</f>
        <v>0</v>
      </c>
      <c r="L39" s="2">
        <f t="shared" si="13"/>
        <v>0</v>
      </c>
      <c r="M39" s="2">
        <f t="shared" si="13"/>
        <v>0</v>
      </c>
      <c r="N39" s="2"/>
      <c r="O39" s="2"/>
      <c r="Q39" s="2">
        <f>SUM(OSRRefD11_28x)+IFERROR(SUM(OSRRefE11_28x),0)</f>
        <v>771.73</v>
      </c>
    </row>
    <row r="40" spans="1:17" s="9" customFormat="1" hidden="1" outlineLevel="1" x14ac:dyDescent="0.25">
      <c r="A40" s="23"/>
      <c r="B40" s="10" t="str">
        <f>CONCATENATE("          ","4126", " - ","NON-TAXABLE SALES-WRITING INST")</f>
        <v xml:space="preserve">          4126 - NON-TAXABLE SALES-WRITING INST</v>
      </c>
      <c r="C40" s="22"/>
      <c r="D40" s="2">
        <f>--52.68</f>
        <v>52.68</v>
      </c>
      <c r="E40" s="2">
        <f t="shared" ref="E40:H40" si="14">0</f>
        <v>0</v>
      </c>
      <c r="F40" s="2">
        <f t="shared" si="14"/>
        <v>0</v>
      </c>
      <c r="G40" s="2">
        <f t="shared" si="14"/>
        <v>0</v>
      </c>
      <c r="H40" s="2">
        <f t="shared" si="14"/>
        <v>0</v>
      </c>
      <c r="I40" s="2">
        <f t="shared" si="12"/>
        <v>0</v>
      </c>
      <c r="J40" s="2">
        <f>0</f>
        <v>0</v>
      </c>
      <c r="K40" s="2">
        <f t="shared" si="13"/>
        <v>0</v>
      </c>
      <c r="L40" s="2">
        <f t="shared" si="13"/>
        <v>0</v>
      </c>
      <c r="M40" s="2">
        <f t="shared" si="13"/>
        <v>0</v>
      </c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25">
      <c r="A41" s="23"/>
      <c r="B41" s="10" t="str">
        <f>CONCATENATE("          ","4127", " - ","NON-TAXABLE SALES-SCHOOL SUPPL")</f>
        <v xml:space="preserve">          4127 - NON-TAXABLE SALES-SCHOOL SUPPL</v>
      </c>
      <c r="C41" s="22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>
        <f>--472.19</f>
        <v>472.19</v>
      </c>
      <c r="L41" s="2">
        <f>--389.95</f>
        <v>389.95</v>
      </c>
      <c r="M41" s="2">
        <f>--493.37</f>
        <v>493.37</v>
      </c>
      <c r="N41" s="2"/>
      <c r="O41" s="2"/>
      <c r="Q41" s="2">
        <f>SUM(OSRRefD11_30x)+IFERROR(SUM(OSRRefE11_30x),0)</f>
        <v>7100.6799999999994</v>
      </c>
    </row>
    <row r="42" spans="1:17" s="9" customFormat="1" hidden="1" outlineLevel="1" x14ac:dyDescent="0.25">
      <c r="A42" s="23"/>
      <c r="B42" s="10" t="str">
        <f>CONCATENATE("          ","4128", " - ","NON-TAXABLE SALES-ART/TECH")</f>
        <v xml:space="preserve">          4128 - NON-TAXABLE SALES-ART/TECH</v>
      </c>
      <c r="C42" s="22"/>
      <c r="D42" s="2">
        <f t="shared" ref="D42:G42" si="15">0</f>
        <v>0</v>
      </c>
      <c r="E42" s="2">
        <f t="shared" si="15"/>
        <v>0</v>
      </c>
      <c r="F42" s="2">
        <f t="shared" si="15"/>
        <v>0</v>
      </c>
      <c r="G42" s="2">
        <f t="shared" si="15"/>
        <v>0</v>
      </c>
      <c r="H42" s="2">
        <f>--24.78</f>
        <v>24.78</v>
      </c>
      <c r="I42" s="2">
        <f>0</f>
        <v>0</v>
      </c>
      <c r="J42" s="2">
        <f>--4.72</f>
        <v>4.72</v>
      </c>
      <c r="K42" s="2">
        <f>--9.08</f>
        <v>9.08</v>
      </c>
      <c r="L42" s="2">
        <f>0</f>
        <v>0</v>
      </c>
      <c r="M42" s="2">
        <f>--31.37</f>
        <v>31.37</v>
      </c>
      <c r="N42" s="2"/>
      <c r="O42" s="2"/>
      <c r="Q42" s="2">
        <f>SUM(OSRRefD11_31x)+IFERROR(SUM(OSRRefE11_31x),0)</f>
        <v>69.95</v>
      </c>
    </row>
    <row r="43" spans="1:17" s="9" customFormat="1" hidden="1" outlineLevel="1" x14ac:dyDescent="0.25">
      <c r="A43" s="23"/>
      <c r="B43" s="10" t="str">
        <f>CONCATENATE("          ","4131", " - ","NON-TAXABLE SALES-FOOD")</f>
        <v xml:space="preserve">          4131 - NON-TAXABLE SALES-FOOD</v>
      </c>
      <c r="C43" s="22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>
        <f>--934.88</f>
        <v>934.88</v>
      </c>
      <c r="L43" s="2">
        <f>--829.28</f>
        <v>829.28</v>
      </c>
      <c r="M43" s="2">
        <f>--975.93</f>
        <v>975.93</v>
      </c>
      <c r="N43" s="2"/>
      <c r="O43" s="2"/>
      <c r="Q43" s="2">
        <f>SUM(OSRRefD11_32x)+IFERROR(SUM(OSRRefE11_32x),0)</f>
        <v>11380.36</v>
      </c>
    </row>
    <row r="44" spans="1:17" s="9" customFormat="1" hidden="1" outlineLevel="1" x14ac:dyDescent="0.25">
      <c r="A44" s="23"/>
      <c r="B44" s="10" t="str">
        <f>CONCATENATE("          ","4132", " - ","NON-TAXABLE SALES-JUICE")</f>
        <v xml:space="preserve">          4132 - NON-TAXABLE SALES-JUICE</v>
      </c>
      <c r="C44" s="22"/>
      <c r="D44" s="2">
        <f>--22.49</f>
        <v>22.49</v>
      </c>
      <c r="E44" s="2">
        <f t="shared" ref="E44:M44" si="16">0</f>
        <v>0</v>
      </c>
      <c r="F44" s="2">
        <f t="shared" si="16"/>
        <v>0</v>
      </c>
      <c r="G44" s="2">
        <f t="shared" si="16"/>
        <v>0</v>
      </c>
      <c r="H44" s="2">
        <f t="shared" si="16"/>
        <v>0</v>
      </c>
      <c r="I44" s="2">
        <f t="shared" si="16"/>
        <v>0</v>
      </c>
      <c r="J44" s="2">
        <f t="shared" si="16"/>
        <v>0</v>
      </c>
      <c r="K44" s="2">
        <f t="shared" si="16"/>
        <v>0</v>
      </c>
      <c r="L44" s="2">
        <f t="shared" si="16"/>
        <v>0</v>
      </c>
      <c r="M44" s="2">
        <f t="shared" si="16"/>
        <v>0</v>
      </c>
      <c r="N44" s="2"/>
      <c r="O44" s="2"/>
      <c r="Q44" s="2">
        <f>SUM(OSRRefD11_33x)+IFERROR(SUM(OSRRefE11_33x),0)</f>
        <v>22.49</v>
      </c>
    </row>
    <row r="45" spans="1:17" s="9" customFormat="1" hidden="1" outlineLevel="1" x14ac:dyDescent="0.25">
      <c r="A45" s="23"/>
      <c r="B45" s="10" t="str">
        <f>CONCATENATE("          ","4133", " - ","NON-TAXABLE SALES-CANDY")</f>
        <v xml:space="preserve">          4133 - NON-TAXABLE SALES-CANDY</v>
      </c>
      <c r="C45" s="22"/>
      <c r="D45" s="2">
        <f>--68.28</f>
        <v>68.28</v>
      </c>
      <c r="E45" s="2">
        <f>--12.43</f>
        <v>12.43</v>
      </c>
      <c r="F45" s="2">
        <f t="shared" ref="F45:M47" si="17">0</f>
        <v>0</v>
      </c>
      <c r="G45" s="2">
        <f t="shared" si="17"/>
        <v>0</v>
      </c>
      <c r="H45" s="2">
        <f t="shared" si="17"/>
        <v>0</v>
      </c>
      <c r="I45" s="2">
        <f t="shared" si="17"/>
        <v>0</v>
      </c>
      <c r="J45" s="2">
        <f t="shared" si="17"/>
        <v>0</v>
      </c>
      <c r="K45" s="2">
        <f t="shared" si="17"/>
        <v>0</v>
      </c>
      <c r="L45" s="2">
        <f t="shared" si="17"/>
        <v>0</v>
      </c>
      <c r="M45" s="2">
        <f t="shared" si="17"/>
        <v>0</v>
      </c>
      <c r="N45" s="2"/>
      <c r="O45" s="2"/>
      <c r="Q45" s="2">
        <f>SUM(OSRRefD11_34x)+IFERROR(SUM(OSRRefE11_34x),0)</f>
        <v>80.710000000000008</v>
      </c>
    </row>
    <row r="46" spans="1:17" s="9" customFormat="1" hidden="1" outlineLevel="1" x14ac:dyDescent="0.25">
      <c r="A46" s="23"/>
      <c r="B46" s="10" t="str">
        <f>CONCATENATE("          ","4134", " - ","NON-TAXABLE SALES-SODA")</f>
        <v xml:space="preserve">          4134 - NON-TAXABLE SALES-SODA</v>
      </c>
      <c r="C46" s="22"/>
      <c r="D46" s="2">
        <f>--45.53</f>
        <v>45.53</v>
      </c>
      <c r="E46" s="2">
        <f t="shared" ref="E46:E47" si="18">0</f>
        <v>0</v>
      </c>
      <c r="F46" s="2">
        <f t="shared" si="17"/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7"/>
        <v>0</v>
      </c>
      <c r="K46" s="2">
        <f t="shared" si="17"/>
        <v>0</v>
      </c>
      <c r="L46" s="2">
        <f t="shared" si="17"/>
        <v>0</v>
      </c>
      <c r="M46" s="2">
        <f t="shared" si="17"/>
        <v>0</v>
      </c>
      <c r="N46" s="2"/>
      <c r="O46" s="2"/>
      <c r="Q46" s="2">
        <f>SUM(OSRRefD11_35x)+IFERROR(SUM(OSRRefE11_35x),0)</f>
        <v>45.53</v>
      </c>
    </row>
    <row r="47" spans="1:17" s="9" customFormat="1" hidden="1" outlineLevel="1" x14ac:dyDescent="0.25">
      <c r="A47" s="23"/>
      <c r="B47" s="10" t="str">
        <f>CONCATENATE("          ","4137", " - ","NON-TAXABLE SALES-WATER")</f>
        <v xml:space="preserve">          4137 - NON-TAXABLE SALES-WATER</v>
      </c>
      <c r="C47" s="22"/>
      <c r="D47" s="2">
        <f>--68.25</f>
        <v>68.25</v>
      </c>
      <c r="E47" s="2">
        <f t="shared" si="18"/>
        <v>0</v>
      </c>
      <c r="F47" s="2">
        <f t="shared" si="17"/>
        <v>0</v>
      </c>
      <c r="G47" s="2">
        <f t="shared" si="17"/>
        <v>0</v>
      </c>
      <c r="H47" s="2">
        <f t="shared" si="17"/>
        <v>0</v>
      </c>
      <c r="I47" s="2">
        <f t="shared" si="17"/>
        <v>0</v>
      </c>
      <c r="J47" s="2">
        <f t="shared" si="17"/>
        <v>0</v>
      </c>
      <c r="K47" s="2">
        <f t="shared" si="17"/>
        <v>0</v>
      </c>
      <c r="L47" s="2">
        <f t="shared" si="17"/>
        <v>0</v>
      </c>
      <c r="M47" s="2">
        <f t="shared" si="17"/>
        <v>0</v>
      </c>
      <c r="N47" s="2"/>
      <c r="O47" s="2"/>
      <c r="Q47" s="2">
        <f>SUM(OSRRefD11_36x)+IFERROR(SUM(OSRRefE11_36x),0)</f>
        <v>68.25</v>
      </c>
    </row>
    <row r="48" spans="1:17" s="9" customFormat="1" hidden="1" outlineLevel="1" x14ac:dyDescent="0.25">
      <c r="A48" s="23"/>
      <c r="B48" s="10" t="str">
        <f>CONCATENATE("          ","4140", " - ","NON-TAXABLE SALES-LOGO CLOTHIN")</f>
        <v xml:space="preserve">          4140 - NON-TAXABLE SALES-LOGO CLOTHIN</v>
      </c>
      <c r="C48" s="22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>
        <f>--1947.86</f>
        <v>1947.86</v>
      </c>
      <c r="L48" s="2">
        <f>--16626.41</f>
        <v>16626.41</v>
      </c>
      <c r="M48" s="2">
        <f>--23040.7</f>
        <v>23040.7</v>
      </c>
      <c r="N48" s="2"/>
      <c r="O48" s="2"/>
      <c r="Q48" s="2">
        <f>SUM(OSRRefD11_37x)+IFERROR(SUM(OSRRefE11_37x),0)</f>
        <v>154792.39000000001</v>
      </c>
    </row>
    <row r="49" spans="1:17" s="9" customFormat="1" hidden="1" outlineLevel="1" x14ac:dyDescent="0.25">
      <c r="A49" s="23"/>
      <c r="B49" s="10" t="str">
        <f>CONCATENATE("          ","4141", " - ","NON-TAXABLE SALES-LOGO GIFTS")</f>
        <v xml:space="preserve">          4141 - NON-TAXABLE SALES-LOGO GIFTS</v>
      </c>
      <c r="C49" s="22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>
        <f>--671.25</f>
        <v>671.25</v>
      </c>
      <c r="L49" s="2">
        <f>--1055.22</f>
        <v>1055.22</v>
      </c>
      <c r="M49" s="2">
        <f>--27228.57</f>
        <v>27228.57</v>
      </c>
      <c r="N49" s="2"/>
      <c r="O49" s="2"/>
      <c r="Q49" s="2">
        <f>SUM(OSRRefD11_38x)+IFERROR(SUM(OSRRefE11_38x),0)</f>
        <v>36796.81</v>
      </c>
    </row>
    <row r="50" spans="1:17" s="9" customFormat="1" hidden="1" outlineLevel="1" x14ac:dyDescent="0.25">
      <c r="A50" s="23"/>
      <c r="B50" s="10" t="str">
        <f>CONCATENATE("          ","4142", " - ","NON-TAXABLE SALES-EVERYDAY GIF")</f>
        <v xml:space="preserve">          4142 - NON-TAXABLE SALES-EVERYDAY GIF</v>
      </c>
      <c r="C50" s="22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>
        <f>--4.58</f>
        <v>4.58</v>
      </c>
      <c r="L50" s="2">
        <f>--16.9</f>
        <v>16.899999999999999</v>
      </c>
      <c r="M50" s="2">
        <f>--306.73</f>
        <v>306.73</v>
      </c>
      <c r="N50" s="2"/>
      <c r="O50" s="2"/>
      <c r="Q50" s="2">
        <f>SUM(OSRRefD11_39x)+IFERROR(SUM(OSRRefE11_39x),0)</f>
        <v>2588.0999999999995</v>
      </c>
    </row>
    <row r="51" spans="1:17" s="9" customFormat="1" hidden="1" outlineLevel="1" x14ac:dyDescent="0.25">
      <c r="A51" s="23"/>
      <c r="B51" s="10" t="str">
        <f>CONCATENATE("          ","4143", " - ","NON-TAXABLE SALES-CARDS")</f>
        <v xml:space="preserve">          4143 - NON-TAXABLE SALES-CARDS</v>
      </c>
      <c r="C51" s="22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19">--9.99</f>
        <v>9.99</v>
      </c>
      <c r="H51" s="2">
        <f t="shared" si="19"/>
        <v>9.99</v>
      </c>
      <c r="I51" s="2">
        <f>--1697.07</f>
        <v>1697.07</v>
      </c>
      <c r="J51" s="2">
        <f>--232.71</f>
        <v>232.71</v>
      </c>
      <c r="K51" s="2">
        <f>--149.92</f>
        <v>149.91999999999999</v>
      </c>
      <c r="L51" s="2">
        <f>--261.82</f>
        <v>261.82</v>
      </c>
      <c r="M51" s="2">
        <f>--49.97</f>
        <v>49.97</v>
      </c>
      <c r="N51" s="2"/>
      <c r="O51" s="2"/>
      <c r="Q51" s="2">
        <f>SUM(OSRRefD11_40x)+IFERROR(SUM(OSRRefE11_40x),0)</f>
        <v>2431.4499999999998</v>
      </c>
    </row>
    <row r="52" spans="1:17" s="9" customFormat="1" hidden="1" outlineLevel="1" x14ac:dyDescent="0.25">
      <c r="A52" s="23"/>
      <c r="B52" s="10" t="str">
        <f>CONCATENATE("          ","4144", " - ","NON-TAXABLE SALES-ACCESSORIES")</f>
        <v xml:space="preserve">          4144 - NON-TAXABLE SALES-ACCESSORIES</v>
      </c>
      <c r="C52" s="22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>
        <f>--39.95</f>
        <v>39.950000000000003</v>
      </c>
      <c r="L52" s="2">
        <f>--29.9</f>
        <v>29.9</v>
      </c>
      <c r="M52" s="2">
        <f>--29.85</f>
        <v>29.85</v>
      </c>
      <c r="N52" s="2"/>
      <c r="O52" s="2"/>
      <c r="Q52" s="2">
        <f>SUM(OSRRefD11_41x)+IFERROR(SUM(OSRRefE11_41x),0)</f>
        <v>709.1</v>
      </c>
    </row>
    <row r="53" spans="1:17" s="9" customFormat="1" hidden="1" outlineLevel="1" x14ac:dyDescent="0.25">
      <c r="A53" s="23"/>
      <c r="B53" s="10" t="str">
        <f>CONCATENATE("          ","4145", " - ","NON-TAXABLE SALES-SPECIAL ORDE")</f>
        <v xml:space="preserve">          4145 - NON-TAXABLE SALES-SPECIAL ORDE</v>
      </c>
      <c r="C53" s="22"/>
      <c r="D53" s="2">
        <f>--35496</f>
        <v>35496</v>
      </c>
      <c r="E53" s="2">
        <f>--350</f>
        <v>350</v>
      </c>
      <c r="F53" s="2">
        <f t="shared" ref="F53:G53" si="20">0</f>
        <v>0</v>
      </c>
      <c r="G53" s="2">
        <f t="shared" si="20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>
        <f t="shared" ref="K53:L53" si="21">0</f>
        <v>0</v>
      </c>
      <c r="L53" s="2">
        <f t="shared" si="21"/>
        <v>0</v>
      </c>
      <c r="M53" s="2">
        <f>--20350.8</f>
        <v>20350.8</v>
      </c>
      <c r="N53" s="2"/>
      <c r="O53" s="2"/>
      <c r="Q53" s="2">
        <f>SUM(OSRRefD11_42x)+IFERROR(SUM(OSRRefE11_42x),0)</f>
        <v>74066.89</v>
      </c>
    </row>
    <row r="54" spans="1:17" s="9" customFormat="1" hidden="1" outlineLevel="1" x14ac:dyDescent="0.25">
      <c r="A54" s="23"/>
      <c r="B54" s="10" t="str">
        <f>CONCATENATE("          ","4146", " - ","NON-TAXABLE SALES-COIN OP MACH")</f>
        <v xml:space="preserve">          4146 - NON-TAXABLE SALES-COIN OP MACH</v>
      </c>
      <c r="C54" s="22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>
        <f>--67.8</f>
        <v>67.8</v>
      </c>
      <c r="L54" s="2">
        <f>--90.7</f>
        <v>90.7</v>
      </c>
      <c r="M54" s="2">
        <f>--30.2</f>
        <v>30.2</v>
      </c>
      <c r="N54" s="2"/>
      <c r="O54" s="2"/>
      <c r="Q54" s="2">
        <f>SUM(OSRRefD11_43x)+IFERROR(SUM(OSRRefE11_43x),0)</f>
        <v>329.29999999999995</v>
      </c>
    </row>
    <row r="55" spans="1:17" s="9" customFormat="1" hidden="1" outlineLevel="1" x14ac:dyDescent="0.25">
      <c r="A55" s="23"/>
      <c r="B55" s="10" t="str">
        <f>CONCATENATE("          ","4147", " - ","NON-TAXABLE SALES-MISC")</f>
        <v xml:space="preserve">          4147 - NON-TAXABLE SALES-MISC</v>
      </c>
      <c r="C55" s="22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>
        <f>--17</f>
        <v>17</v>
      </c>
      <c r="L55" s="2">
        <f t="shared" ref="L55:M55" si="22">--11</f>
        <v>11</v>
      </c>
      <c r="M55" s="2">
        <f t="shared" si="22"/>
        <v>11</v>
      </c>
      <c r="N55" s="2"/>
      <c r="O55" s="2"/>
      <c r="Q55" s="2">
        <f>SUM(OSRRefD11_44x)+IFERROR(SUM(OSRRefE11_44x),0)</f>
        <v>154.5</v>
      </c>
    </row>
    <row r="56" spans="1:17" s="9" customFormat="1" hidden="1" outlineLevel="1" x14ac:dyDescent="0.25">
      <c r="A56" s="23"/>
      <c r="B56" s="10" t="str">
        <f>CONCATENATE("          ","4201", " - ","SALES RETURN TAXABLE-NEW TEXT")</f>
        <v xml:space="preserve">          4201 - SALES RETURN TAXABLE-NEW TEXT</v>
      </c>
      <c r="C56" s="22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>
        <f>-1333.42</f>
        <v>-1333.42</v>
      </c>
      <c r="I56" s="2">
        <f>-681.18</f>
        <v>-681.18</v>
      </c>
      <c r="J56" s="2">
        <f>-12741.9</f>
        <v>-12741.9</v>
      </c>
      <c r="K56" s="2">
        <f>-2146.49</f>
        <v>-2146.4899999999998</v>
      </c>
      <c r="L56" s="2">
        <f>-596.94</f>
        <v>-596.94000000000005</v>
      </c>
      <c r="M56" s="2">
        <f>-376.85</f>
        <v>-376.85</v>
      </c>
      <c r="N56" s="2"/>
      <c r="O56" s="2"/>
      <c r="Q56" s="2">
        <f>SUM(OSRRefD11_45x)+IFERROR(SUM(OSRRefE11_45x),0)</f>
        <v>-51638.020000000004</v>
      </c>
    </row>
    <row r="57" spans="1:17" s="9" customFormat="1" hidden="1" outlineLevel="1" x14ac:dyDescent="0.25">
      <c r="A57" s="23"/>
      <c r="B57" s="10" t="str">
        <f>CONCATENATE("          ","4202", " - ","SALES RETURN TAXABLE-USED TEXT")</f>
        <v xml:space="preserve">          4202 - SALES RETURN TAXABLE-USED TEXT</v>
      </c>
      <c r="C57" s="22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>
        <f>-3274.35</f>
        <v>-3274.35</v>
      </c>
      <c r="I57" s="2">
        <f>-62.65</f>
        <v>-62.65</v>
      </c>
      <c r="J57" s="2">
        <f>-4670.3</f>
        <v>-4670.3</v>
      </c>
      <c r="K57" s="2">
        <f>-1199.21</f>
        <v>-1199.21</v>
      </c>
      <c r="L57" s="2">
        <f>-153.8</f>
        <v>-153.80000000000001</v>
      </c>
      <c r="M57" s="2">
        <f>-206.95</f>
        <v>-206.95</v>
      </c>
      <c r="N57" s="2"/>
      <c r="O57" s="2"/>
      <c r="Q57" s="2">
        <f>SUM(OSRRefD11_46x)+IFERROR(SUM(OSRRefE11_46x),0)</f>
        <v>-20096.259999999998</v>
      </c>
    </row>
    <row r="58" spans="1:17" s="9" customFormat="1" hidden="1" outlineLevel="1" x14ac:dyDescent="0.25">
      <c r="A58" s="23"/>
      <c r="B58" s="10" t="str">
        <f>CONCATENATE("          ","4204", " - ","SALES RETURN TAXABLE-DIGITAL T")</f>
        <v xml:space="preserve">          4204 - SALES RETURN TAXABLE-DIGITAL T</v>
      </c>
      <c r="C58" s="22"/>
      <c r="D58" s="2">
        <f t="shared" ref="D58:D60" si="23"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>
        <f t="shared" ref="H58:J61" si="24">0</f>
        <v>0</v>
      </c>
      <c r="I58" s="2">
        <f t="shared" si="24"/>
        <v>0</v>
      </c>
      <c r="J58" s="2">
        <f t="shared" si="24"/>
        <v>0</v>
      </c>
      <c r="K58" s="2">
        <f>-132.25</f>
        <v>-132.25</v>
      </c>
      <c r="L58" s="2">
        <f t="shared" ref="L58:M59" si="25">0</f>
        <v>0</v>
      </c>
      <c r="M58" s="2">
        <f t="shared" si="25"/>
        <v>0</v>
      </c>
      <c r="N58" s="2"/>
      <c r="O58" s="2"/>
      <c r="Q58" s="2">
        <f>SUM(OSRRefD11_47x)+IFERROR(SUM(OSRRefE11_47x),0)</f>
        <v>-1763.1</v>
      </c>
    </row>
    <row r="59" spans="1:17" s="9" customFormat="1" hidden="1" outlineLevel="1" x14ac:dyDescent="0.25">
      <c r="A59" s="23"/>
      <c r="B59" s="10" t="str">
        <f>CONCATENATE("          ","4213", " - ","NON-TAXABLE SALES-TRADE BOOKS")</f>
        <v xml:space="preserve">          4213 - NON-TAXABLE SALES-TRADE BOOKS</v>
      </c>
      <c r="C59" s="22"/>
      <c r="D59" s="2">
        <f t="shared" si="23"/>
        <v>0</v>
      </c>
      <c r="E59" s="2">
        <f t="shared" ref="E59:E61" si="26">0</f>
        <v>0</v>
      </c>
      <c r="F59" s="2">
        <f t="shared" ref="F59:G60" si="27">0</f>
        <v>0</v>
      </c>
      <c r="G59" s="2">
        <f t="shared" si="27"/>
        <v>0</v>
      </c>
      <c r="H59" s="2">
        <f t="shared" si="24"/>
        <v>0</v>
      </c>
      <c r="I59" s="2">
        <f t="shared" si="24"/>
        <v>0</v>
      </c>
      <c r="J59" s="2">
        <f t="shared" si="24"/>
        <v>0</v>
      </c>
      <c r="K59" s="2">
        <f>-69.93</f>
        <v>-69.930000000000007</v>
      </c>
      <c r="L59" s="2">
        <f t="shared" si="25"/>
        <v>0</v>
      </c>
      <c r="M59" s="2">
        <f t="shared" si="25"/>
        <v>0</v>
      </c>
      <c r="N59" s="2"/>
      <c r="O59" s="2"/>
      <c r="Q59" s="2">
        <f>SUM(OSRRefD11_48x)+IFERROR(SUM(OSRRefE11_48x),0)</f>
        <v>-69.930000000000007</v>
      </c>
    </row>
    <row r="60" spans="1:17" s="9" customFormat="1" hidden="1" outlineLevel="1" x14ac:dyDescent="0.25">
      <c r="A60" s="23"/>
      <c r="B60" s="10" t="str">
        <f>CONCATENATE("          ","4218", " - ","SALES RETURN TAXABLE-STUDY GUI")</f>
        <v xml:space="preserve">          4218 - SALES RETURN TAXABLE-STUDY GUI</v>
      </c>
      <c r="C60" s="22"/>
      <c r="D60" s="2">
        <f t="shared" si="23"/>
        <v>0</v>
      </c>
      <c r="E60" s="2">
        <f t="shared" si="26"/>
        <v>0</v>
      </c>
      <c r="F60" s="2">
        <f t="shared" si="27"/>
        <v>0</v>
      </c>
      <c r="G60" s="2">
        <f t="shared" si="27"/>
        <v>0</v>
      </c>
      <c r="H60" s="2">
        <f t="shared" si="24"/>
        <v>0</v>
      </c>
      <c r="I60" s="2">
        <f t="shared" si="24"/>
        <v>0</v>
      </c>
      <c r="J60" s="2">
        <f t="shared" si="24"/>
        <v>0</v>
      </c>
      <c r="K60" s="2">
        <f t="shared" ref="K60:K61" si="28">0</f>
        <v>0</v>
      </c>
      <c r="L60" s="2">
        <f>-5.21</f>
        <v>-5.21</v>
      </c>
      <c r="M60" s="2">
        <f t="shared" ref="M60:M61" si="29">0</f>
        <v>0</v>
      </c>
      <c r="N60" s="2"/>
      <c r="O60" s="2"/>
      <c r="Q60" s="2">
        <f>SUM(OSRRefD11_49x)+IFERROR(SUM(OSRRefE11_49x),0)</f>
        <v>-5.21</v>
      </c>
    </row>
    <row r="61" spans="1:17" s="9" customFormat="1" hidden="1" outlineLevel="1" x14ac:dyDescent="0.25">
      <c r="A61" s="23"/>
      <c r="B61" s="10" t="str">
        <f>CONCATENATE("          ","4226", " - ","SALES RETURN TAXABLE-WRITING I")</f>
        <v xml:space="preserve">          4226 - SALES RETURN TAXABLE-WRITING I</v>
      </c>
      <c r="C61" s="22"/>
      <c r="D61" s="2">
        <f>-6.38</f>
        <v>-6.38</v>
      </c>
      <c r="E61" s="2">
        <f t="shared" si="26"/>
        <v>0</v>
      </c>
      <c r="F61" s="2">
        <f>-22.49</f>
        <v>-22.49</v>
      </c>
      <c r="G61" s="2">
        <f>-5.36</f>
        <v>-5.36</v>
      </c>
      <c r="H61" s="2">
        <f t="shared" si="24"/>
        <v>0</v>
      </c>
      <c r="I61" s="2">
        <f t="shared" si="24"/>
        <v>0</v>
      </c>
      <c r="J61" s="2">
        <f t="shared" si="24"/>
        <v>0</v>
      </c>
      <c r="K61" s="2">
        <f t="shared" si="28"/>
        <v>0</v>
      </c>
      <c r="L61" s="2">
        <f>0</f>
        <v>0</v>
      </c>
      <c r="M61" s="2">
        <f t="shared" si="29"/>
        <v>0</v>
      </c>
      <c r="N61" s="2"/>
      <c r="O61" s="2"/>
      <c r="Q61" s="2">
        <f>SUM(OSRRefD11_50x)+IFERROR(SUM(OSRRefE11_50x),0)</f>
        <v>-34.229999999999997</v>
      </c>
    </row>
    <row r="62" spans="1:17" s="9" customFormat="1" hidden="1" outlineLevel="1" x14ac:dyDescent="0.25">
      <c r="A62" s="23"/>
      <c r="B62" s="10" t="str">
        <f>CONCATENATE("          ","4227", " - ","SALES RETURN TAXABLE-SCHOOL SU")</f>
        <v xml:space="preserve">          4227 - SALES RETURN TAXABLE-SCHOOL SU</v>
      </c>
      <c r="C62" s="22"/>
      <c r="D62" s="2">
        <f>-56.77</f>
        <v>-56.77</v>
      </c>
      <c r="E62" s="2">
        <f>-359.61</f>
        <v>-359.61</v>
      </c>
      <c r="F62" s="2">
        <f>-152.29</f>
        <v>-152.29</v>
      </c>
      <c r="G62" s="2">
        <f>-9.99</f>
        <v>-9.99</v>
      </c>
      <c r="H62" s="2">
        <f>-31.98</f>
        <v>-31.98</v>
      </c>
      <c r="I62" s="2">
        <f>-25.82</f>
        <v>-25.82</v>
      </c>
      <c r="J62" s="2">
        <f>-126.22</f>
        <v>-126.22</v>
      </c>
      <c r="K62" s="2">
        <f>-19.05</f>
        <v>-19.05</v>
      </c>
      <c r="L62" s="2">
        <f>-64.39</f>
        <v>-64.39</v>
      </c>
      <c r="M62" s="2">
        <f>-500.54</f>
        <v>-500.54</v>
      </c>
      <c r="N62" s="2"/>
      <c r="O62" s="2"/>
      <c r="Q62" s="2">
        <f>SUM(OSRRefD11_51x)+IFERROR(SUM(OSRRefE11_51x),0)</f>
        <v>-1346.66</v>
      </c>
    </row>
    <row r="63" spans="1:17" s="9" customFormat="1" hidden="1" outlineLevel="1" x14ac:dyDescent="0.25">
      <c r="A63" s="23"/>
      <c r="B63" s="10" t="str">
        <f>CONCATENATE("          ","4228", " - ","SALES RETURN TAXABLE-ART/TECH")</f>
        <v xml:space="preserve">          4228 - SALES RETURN TAXABLE-ART/TECH</v>
      </c>
      <c r="C63" s="22"/>
      <c r="D63" s="2">
        <f>0</f>
        <v>0</v>
      </c>
      <c r="E63" s="2">
        <f>-164.44</f>
        <v>-164.44</v>
      </c>
      <c r="F63" s="2">
        <f>-57.76</f>
        <v>-57.76</v>
      </c>
      <c r="G63" s="2">
        <f>0</f>
        <v>0</v>
      </c>
      <c r="H63" s="2">
        <f>-32.49</f>
        <v>-32.49</v>
      </c>
      <c r="I63" s="2">
        <f>0</f>
        <v>0</v>
      </c>
      <c r="J63" s="2">
        <f>-12473.84</f>
        <v>-12473.84</v>
      </c>
      <c r="K63" s="2">
        <f>-10.71</f>
        <v>-10.71</v>
      </c>
      <c r="L63" s="2">
        <f>-98.38</f>
        <v>-98.38</v>
      </c>
      <c r="M63" s="2">
        <f>-136.11</f>
        <v>-136.11000000000001</v>
      </c>
      <c r="N63" s="2"/>
      <c r="O63" s="2"/>
      <c r="Q63" s="2">
        <f>SUM(OSRRefD11_52x)+IFERROR(SUM(OSRRefE11_52x),0)</f>
        <v>-12973.73</v>
      </c>
    </row>
    <row r="64" spans="1:17" s="9" customFormat="1" hidden="1" outlineLevel="1" x14ac:dyDescent="0.25">
      <c r="A64" s="23"/>
      <c r="B64" s="10" t="str">
        <f>CONCATENATE("          ","4240", " - ","SALES RETURN TAXABLE-LOGO CLOT")</f>
        <v xml:space="preserve">          4240 - SALES RETURN TAXABLE-LOGO CLOT</v>
      </c>
      <c r="C64" s="22"/>
      <c r="D64" s="2">
        <f>-3368.1</f>
        <v>-3368.1</v>
      </c>
      <c r="E64" s="2">
        <f>-4788.72</f>
        <v>-4788.72</v>
      </c>
      <c r="F64" s="2">
        <f>-3453.14</f>
        <v>-3453.14</v>
      </c>
      <c r="G64" s="2">
        <f>-2239.56</f>
        <v>-2239.56</v>
      </c>
      <c r="H64" s="2">
        <f>-1729.15</f>
        <v>-1729.15</v>
      </c>
      <c r="I64" s="2">
        <f>-4840.17</f>
        <v>-4840.17</v>
      </c>
      <c r="J64" s="2">
        <f>-7168.03</f>
        <v>-7168.03</v>
      </c>
      <c r="K64" s="2">
        <f>-3542.64</f>
        <v>-3542.64</v>
      </c>
      <c r="L64" s="2">
        <f>-3924.84</f>
        <v>-3924.84</v>
      </c>
      <c r="M64" s="2">
        <f>-5611.92</f>
        <v>-5611.92</v>
      </c>
      <c r="N64" s="2"/>
      <c r="O64" s="2"/>
      <c r="Q64" s="2">
        <f>SUM(OSRRefD11_53x)+IFERROR(SUM(OSRRefE11_53x),0)</f>
        <v>-40666.26999999999</v>
      </c>
    </row>
    <row r="65" spans="1:17" s="9" customFormat="1" hidden="1" outlineLevel="1" x14ac:dyDescent="0.25">
      <c r="A65" s="23"/>
      <c r="B65" s="10" t="str">
        <f>CONCATENATE("          ","4241", " - ","SALES RETURN TAXABLE-LOGO GIFT")</f>
        <v xml:space="preserve">          4241 - SALES RETURN TAXABLE-LOGO GIFT</v>
      </c>
      <c r="C65" s="22"/>
      <c r="D65" s="2">
        <f>-341.98</f>
        <v>-341.98</v>
      </c>
      <c r="E65" s="2">
        <f>-986.21</f>
        <v>-986.21</v>
      </c>
      <c r="F65" s="2">
        <f>-988.92</f>
        <v>-988.92</v>
      </c>
      <c r="G65" s="2">
        <f>-379.45</f>
        <v>-379.45</v>
      </c>
      <c r="H65" s="2">
        <f>-108.29</f>
        <v>-108.29</v>
      </c>
      <c r="I65" s="2">
        <f>-755.16</f>
        <v>-755.16</v>
      </c>
      <c r="J65" s="2">
        <f>-1397.46</f>
        <v>-1397.46</v>
      </c>
      <c r="K65" s="2">
        <f>-338.05</f>
        <v>-338.05</v>
      </c>
      <c r="L65" s="2">
        <f>-1222.82</f>
        <v>-1222.82</v>
      </c>
      <c r="M65" s="2">
        <f>-5656.91</f>
        <v>-5656.91</v>
      </c>
      <c r="N65" s="2"/>
      <c r="O65" s="2"/>
      <c r="Q65" s="2">
        <f>SUM(OSRRefD11_54x)+IFERROR(SUM(OSRRefE11_54x),0)</f>
        <v>-12175.25</v>
      </c>
    </row>
    <row r="66" spans="1:17" s="9" customFormat="1" hidden="1" outlineLevel="1" x14ac:dyDescent="0.25">
      <c r="A66" s="23"/>
      <c r="B66" s="10" t="str">
        <f>CONCATENATE("          ","4242", " - ","SALES RETURN TAXABLE-EVERYDAY")</f>
        <v xml:space="preserve">          4242 - SALES RETURN TAXABLE-EVERYDAY</v>
      </c>
      <c r="C66" s="22"/>
      <c r="D66" s="2">
        <f>-178.96</f>
        <v>-178.96</v>
      </c>
      <c r="E66" s="2">
        <f>-470.53</f>
        <v>-470.53</v>
      </c>
      <c r="F66" s="2">
        <f>-405.07</f>
        <v>-405.07</v>
      </c>
      <c r="G66" s="2">
        <f>-266.95</f>
        <v>-266.95</v>
      </c>
      <c r="H66" s="2">
        <f>-7.48</f>
        <v>-7.48</v>
      </c>
      <c r="I66" s="2">
        <f>-287.93</f>
        <v>-287.93</v>
      </c>
      <c r="J66" s="2">
        <f>-76.86</f>
        <v>-76.86</v>
      </c>
      <c r="K66" s="2">
        <f>-44.96</f>
        <v>-44.96</v>
      </c>
      <c r="L66" s="2">
        <f>-565.08</f>
        <v>-565.08000000000004</v>
      </c>
      <c r="M66" s="2">
        <f>-332.27</f>
        <v>-332.27</v>
      </c>
      <c r="N66" s="2"/>
      <c r="O66" s="2"/>
      <c r="Q66" s="2">
        <f>SUM(OSRRefD11_55x)+IFERROR(SUM(OSRRefE11_55x),0)</f>
        <v>-2636.09</v>
      </c>
    </row>
    <row r="67" spans="1:17" s="9" customFormat="1" hidden="1" outlineLevel="1" x14ac:dyDescent="0.25">
      <c r="A67" s="23"/>
      <c r="B67" s="10" t="str">
        <f>CONCATENATE("          ","4243", " - ","SALES RETURN TAXABLE-CARDS")</f>
        <v xml:space="preserve">          4243 - SALES RETURN TAXABLE-CARDS</v>
      </c>
      <c r="C67" s="22"/>
      <c r="D67" s="2">
        <f t="shared" ref="D67:D68" si="30">0</f>
        <v>0</v>
      </c>
      <c r="E67" s="2">
        <f>-93.43</f>
        <v>-93.43</v>
      </c>
      <c r="F67" s="2">
        <f>-59.94</f>
        <v>-59.94</v>
      </c>
      <c r="G67" s="2">
        <f>-829.55</f>
        <v>-829.55</v>
      </c>
      <c r="H67" s="2">
        <f>-829.54</f>
        <v>-829.54</v>
      </c>
      <c r="I67" s="2">
        <f>-1765.08</f>
        <v>-1765.08</v>
      </c>
      <c r="J67" s="2">
        <f>-1422.25</f>
        <v>-1422.25</v>
      </c>
      <c r="K67" s="2">
        <f>-369.81</f>
        <v>-369.81</v>
      </c>
      <c r="L67" s="2">
        <f>-572.63</f>
        <v>-572.63</v>
      </c>
      <c r="M67" s="2">
        <f>-199.86</f>
        <v>-199.86</v>
      </c>
      <c r="N67" s="2"/>
      <c r="O67" s="2"/>
      <c r="Q67" s="2">
        <f>SUM(OSRRefD11_56x)+IFERROR(SUM(OSRRefE11_56x),0)</f>
        <v>-6142.09</v>
      </c>
    </row>
    <row r="68" spans="1:17" s="9" customFormat="1" hidden="1" outlineLevel="1" x14ac:dyDescent="0.25">
      <c r="A68" s="23"/>
      <c r="B68" s="10" t="str">
        <f>CONCATENATE("          ","4244", " - ","SALES RETURN TAXABLE-ACCESSORI")</f>
        <v xml:space="preserve">          4244 - SALES RETURN TAXABLE-ACCESSORI</v>
      </c>
      <c r="C68" s="22"/>
      <c r="D68" s="2">
        <f t="shared" si="30"/>
        <v>0</v>
      </c>
      <c r="E68" s="2">
        <f>-350.99</f>
        <v>-350.99</v>
      </c>
      <c r="F68" s="2">
        <f>-60</f>
        <v>-60</v>
      </c>
      <c r="G68" s="2">
        <f>0</f>
        <v>0</v>
      </c>
      <c r="H68" s="2">
        <f>-179.95</f>
        <v>-179.95</v>
      </c>
      <c r="I68" s="2">
        <f>-299.93</f>
        <v>-299.93</v>
      </c>
      <c r="J68" s="2">
        <f>-93.98</f>
        <v>-93.98</v>
      </c>
      <c r="K68" s="2">
        <f>-9.99</f>
        <v>-9.99</v>
      </c>
      <c r="L68" s="2">
        <f>-240.42</f>
        <v>-240.42</v>
      </c>
      <c r="M68" s="2">
        <f>-8.24</f>
        <v>-8.24</v>
      </c>
      <c r="N68" s="2"/>
      <c r="O68" s="2"/>
      <c r="Q68" s="2">
        <f>SUM(OSRRefD11_57x)+IFERROR(SUM(OSRRefE11_57x),0)</f>
        <v>-1243.5000000000002</v>
      </c>
    </row>
    <row r="69" spans="1:17" s="9" customFormat="1" hidden="1" outlineLevel="1" x14ac:dyDescent="0.25">
      <c r="A69" s="23"/>
      <c r="B69" s="10" t="str">
        <f>CONCATENATE("          ","4245", " - ","SALES RETURN TAXABLE-SPECIAL O")</f>
        <v xml:space="preserve">          4245 - SALES RETURN TAXABLE-SPECIAL O</v>
      </c>
      <c r="C69" s="22"/>
      <c r="D69" s="2">
        <f>-1121</f>
        <v>-1121</v>
      </c>
      <c r="E69" s="2">
        <f>-57.96</f>
        <v>-57.96</v>
      </c>
      <c r="F69" s="2">
        <f>-3.99</f>
        <v>-3.99</v>
      </c>
      <c r="G69" s="2">
        <f>-363.98</f>
        <v>-363.98</v>
      </c>
      <c r="H69" s="2">
        <f>-45.89</f>
        <v>-45.89</v>
      </c>
      <c r="I69" s="2">
        <f>-9752.79</f>
        <v>-9752.7900000000009</v>
      </c>
      <c r="J69" s="2">
        <f>0</f>
        <v>0</v>
      </c>
      <c r="K69" s="2">
        <f>-7.98</f>
        <v>-7.98</v>
      </c>
      <c r="L69" s="2">
        <f t="shared" ref="L69:L70" si="31">0</f>
        <v>0</v>
      </c>
      <c r="M69" s="2">
        <f>-4071.14</f>
        <v>-4071.14</v>
      </c>
      <c r="N69" s="2"/>
      <c r="O69" s="2"/>
      <c r="Q69" s="2">
        <f>SUM(OSRRefD11_58x)+IFERROR(SUM(OSRRefE11_58x),0)</f>
        <v>-15424.73</v>
      </c>
    </row>
    <row r="70" spans="1:17" s="9" customFormat="1" hidden="1" outlineLevel="1" x14ac:dyDescent="0.25">
      <c r="A70" s="23"/>
      <c r="B70" s="10" t="str">
        <f>CONCATENATE("          ","4301", " - ","SALES RETURN NON TAXABLE-NEW T")</f>
        <v xml:space="preserve">          4301 - SALES RETURN NON TAXABLE-NEW T</v>
      </c>
      <c r="C70" s="22"/>
      <c r="D70" s="2">
        <f>0</f>
        <v>0</v>
      </c>
      <c r="E70" s="2">
        <f>-20.25</f>
        <v>-20.25</v>
      </c>
      <c r="F70" s="2">
        <f>-1820.43</f>
        <v>-1820.43</v>
      </c>
      <c r="G70" s="2">
        <f>-535.49</f>
        <v>-535.49</v>
      </c>
      <c r="H70" s="2">
        <f>0</f>
        <v>0</v>
      </c>
      <c r="I70" s="2">
        <f>-372.93</f>
        <v>-372.93</v>
      </c>
      <c r="J70" s="2">
        <f>-256.69</f>
        <v>-256.69</v>
      </c>
      <c r="K70" s="2">
        <f>-231.5</f>
        <v>-231.5</v>
      </c>
      <c r="L70" s="2">
        <f t="shared" si="31"/>
        <v>0</v>
      </c>
      <c r="M70" s="2">
        <f>-225.91</f>
        <v>-225.91</v>
      </c>
      <c r="N70" s="2"/>
      <c r="O70" s="2"/>
      <c r="Q70" s="2">
        <f>SUM(OSRRefD11_59x)+IFERROR(SUM(OSRRefE11_59x),0)</f>
        <v>-3463.2</v>
      </c>
    </row>
    <row r="71" spans="1:17" s="9" customFormat="1" hidden="1" outlineLevel="1" x14ac:dyDescent="0.25">
      <c r="A71" s="23"/>
      <c r="B71" s="10" t="str">
        <f>CONCATENATE("          ","4302", " - ","SALES RETURN NON TAXABLE-TEXT")</f>
        <v xml:space="preserve">          4302 - SALES RETURN NON TAXABLE-TEXT</v>
      </c>
      <c r="C71" s="22"/>
      <c r="D71" s="2">
        <f>-63.67</f>
        <v>-63.67</v>
      </c>
      <c r="E71" s="2">
        <f>-346.17</f>
        <v>-346.17</v>
      </c>
      <c r="F71" s="2">
        <f>-737.24</f>
        <v>-737.24</v>
      </c>
      <c r="G71" s="2">
        <f>-169.72</f>
        <v>-169.72</v>
      </c>
      <c r="H71" s="2">
        <f>-76.05</f>
        <v>-76.05</v>
      </c>
      <c r="I71" s="2">
        <f>-77.35</f>
        <v>-77.349999999999994</v>
      </c>
      <c r="J71" s="2">
        <f>-532.96</f>
        <v>-532.96</v>
      </c>
      <c r="K71" s="2">
        <f>-70.32</f>
        <v>-70.319999999999993</v>
      </c>
      <c r="L71" s="2">
        <f>-270.87</f>
        <v>-270.87</v>
      </c>
      <c r="M71" s="2">
        <f>-98.97</f>
        <v>-98.97</v>
      </c>
      <c r="N71" s="2"/>
      <c r="O71" s="2"/>
      <c r="Q71" s="2">
        <f>SUM(OSRRefD11_60x)+IFERROR(SUM(OSRRefE11_60x),0)</f>
        <v>-2443.3199999999997</v>
      </c>
    </row>
    <row r="72" spans="1:17" s="9" customFormat="1" hidden="1" outlineLevel="1" x14ac:dyDescent="0.25">
      <c r="A72" s="23"/>
      <c r="B72" s="10" t="str">
        <f>CONCATENATE("          ","4304", " - ","SALES RETURN NON TAXABLE-DIGIT")</f>
        <v xml:space="preserve">          4304 - SALES RETURN NON TAXABLE-DIGIT</v>
      </c>
      <c r="C72" s="22"/>
      <c r="D72" s="2">
        <f>-452.05</f>
        <v>-452.05</v>
      </c>
      <c r="E72" s="2">
        <f>-5500.68</f>
        <v>-5500.68</v>
      </c>
      <c r="F72" s="2">
        <f>-7456.63</f>
        <v>-7456.63</v>
      </c>
      <c r="G72" s="2">
        <f>-692.75</f>
        <v>-692.75</v>
      </c>
      <c r="H72" s="2">
        <f>-176.43</f>
        <v>-176.43</v>
      </c>
      <c r="I72" s="2">
        <f>-144.23</f>
        <v>-144.22999999999999</v>
      </c>
      <c r="J72" s="2">
        <f>-10673</f>
        <v>-10673</v>
      </c>
      <c r="K72" s="2">
        <f>-2172.95</f>
        <v>-2172.9499999999998</v>
      </c>
      <c r="L72" s="2">
        <f>-275.04</f>
        <v>-275.04000000000002</v>
      </c>
      <c r="M72" s="2">
        <f>0</f>
        <v>0</v>
      </c>
      <c r="N72" s="2"/>
      <c r="O72" s="2"/>
      <c r="Q72" s="2">
        <f>SUM(OSRRefD11_61x)+IFERROR(SUM(OSRRefE11_61x),0)</f>
        <v>-27543.760000000002</v>
      </c>
    </row>
    <row r="73" spans="1:17" s="9" customFormat="1" hidden="1" outlineLevel="1" x14ac:dyDescent="0.25">
      <c r="A73" s="23"/>
      <c r="B73" s="10" t="str">
        <f>CONCATENATE("          ","4340", " - ","SALES RETURN NON TAXABLE-LOGO")</f>
        <v xml:space="preserve">          4340 - SALES RETURN NON TAXABLE-LOGO</v>
      </c>
      <c r="C73" s="22"/>
      <c r="D73" s="2">
        <f>-434.24</f>
        <v>-434.24</v>
      </c>
      <c r="E73" s="2">
        <f>-69.9</f>
        <v>-69.900000000000006</v>
      </c>
      <c r="F73" s="2">
        <f>-36.9</f>
        <v>-36.9</v>
      </c>
      <c r="G73" s="2">
        <f>-195.69</f>
        <v>-195.69</v>
      </c>
      <c r="H73" s="2">
        <f>-203.75</f>
        <v>-203.75</v>
      </c>
      <c r="I73" s="2">
        <f>-543.24</f>
        <v>-543.24</v>
      </c>
      <c r="J73" s="2">
        <f>-732.22</f>
        <v>-732.22</v>
      </c>
      <c r="K73" s="2">
        <f>-76.9</f>
        <v>-76.900000000000006</v>
      </c>
      <c r="L73" s="2">
        <f>-350.55</f>
        <v>-350.55</v>
      </c>
      <c r="M73" s="2">
        <f>-664.13</f>
        <v>-664.13</v>
      </c>
      <c r="N73" s="2"/>
      <c r="O73" s="2"/>
      <c r="Q73" s="2">
        <f>SUM(OSRRefD11_62x)+IFERROR(SUM(OSRRefE11_62x),0)</f>
        <v>-3307.5200000000004</v>
      </c>
    </row>
    <row r="74" spans="1:17" s="9" customFormat="1" hidden="1" outlineLevel="1" x14ac:dyDescent="0.25">
      <c r="A74" s="23"/>
      <c r="B74" s="10" t="str">
        <f>CONCATENATE("          ","4341", " - ","SALES RETURN NON TAXABLE-LOGO")</f>
        <v xml:space="preserve">          4341 - SALES RETURN NON TAXABLE-LOGO</v>
      </c>
      <c r="C74" s="22"/>
      <c r="D74" s="2">
        <f>-16.95</f>
        <v>-16.95</v>
      </c>
      <c r="E74" s="2">
        <f>0</f>
        <v>0</v>
      </c>
      <c r="F74" s="2">
        <f>-129.95</f>
        <v>-129.94999999999999</v>
      </c>
      <c r="G74" s="2">
        <f t="shared" ref="G74:G75" si="32">0</f>
        <v>0</v>
      </c>
      <c r="H74" s="2">
        <f>-154.89</f>
        <v>-154.88999999999999</v>
      </c>
      <c r="I74" s="2">
        <f>-33.85</f>
        <v>-33.85</v>
      </c>
      <c r="J74" s="2">
        <f>-27</f>
        <v>-27</v>
      </c>
      <c r="K74" s="2">
        <f t="shared" ref="K74:K75" si="33">0</f>
        <v>0</v>
      </c>
      <c r="L74" s="2">
        <f>-29.9</f>
        <v>-29.9</v>
      </c>
      <c r="M74" s="2">
        <f>-9.9</f>
        <v>-9.9</v>
      </c>
      <c r="N74" s="2"/>
      <c r="O74" s="2"/>
      <c r="Q74" s="2">
        <f>SUM(OSRRefD11_63x)+IFERROR(SUM(OSRRefE11_63x),0)</f>
        <v>-402.43999999999994</v>
      </c>
    </row>
    <row r="75" spans="1:17" s="9" customFormat="1" hidden="1" outlineLevel="1" x14ac:dyDescent="0.25">
      <c r="A75" s="23"/>
      <c r="B75" s="10" t="str">
        <f>CONCATENATE("          ","4342", " - ","SALES RETURN NON TAXABLE-EVERY")</f>
        <v xml:space="preserve">          4342 - SALES RETURN NON TAXABLE-EVERY</v>
      </c>
      <c r="C75" s="22"/>
      <c r="D75" s="2">
        <f>-79.85</f>
        <v>-79.849999999999994</v>
      </c>
      <c r="E75" s="2">
        <f>-13.9</f>
        <v>-13.9</v>
      </c>
      <c r="F75" s="2">
        <f>-24.95</f>
        <v>-24.95</v>
      </c>
      <c r="G75" s="2">
        <f t="shared" si="32"/>
        <v>0</v>
      </c>
      <c r="H75" s="2">
        <f t="shared" ref="H75:J75" si="34">0</f>
        <v>0</v>
      </c>
      <c r="I75" s="2">
        <f t="shared" si="34"/>
        <v>0</v>
      </c>
      <c r="J75" s="2">
        <f t="shared" si="34"/>
        <v>0</v>
      </c>
      <c r="K75" s="2">
        <f t="shared" si="33"/>
        <v>0</v>
      </c>
      <c r="L75" s="2">
        <f t="shared" ref="L75:M75" si="35">0</f>
        <v>0</v>
      </c>
      <c r="M75" s="2">
        <f t="shared" si="35"/>
        <v>0</v>
      </c>
      <c r="N75" s="2"/>
      <c r="O75" s="2"/>
      <c r="Q75" s="2">
        <f>SUM(OSRRefD11_64x)+IFERROR(SUM(OSRRefE11_64x),0)</f>
        <v>-118.7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9" customFormat="1" collapsed="1" x14ac:dyDescent="0.25">
      <c r="A77" s="23"/>
      <c r="B77" s="16" t="s">
        <v>217</v>
      </c>
      <c r="C77" s="22"/>
      <c r="D77" s="3">
        <f>SUM(OSRRefD14x_0)</f>
        <v>141395.27000000002</v>
      </c>
      <c r="E77" s="3">
        <f>SUM(OSRRefD14x_1)</f>
        <v>1081423.0600000003</v>
      </c>
      <c r="F77" s="3">
        <f>SUM(OSRRefD14x_2)</f>
        <v>231141.1</v>
      </c>
      <c r="G77" s="3">
        <f>SUM(OSRRefD14x_3)</f>
        <v>86470.499999999956</v>
      </c>
      <c r="H77" s="3">
        <f>SUM(OSRRefD14x_4)</f>
        <v>61344.100000000035</v>
      </c>
      <c r="I77" s="3">
        <f>SUM(OSRRefD14x_5)</f>
        <v>132849.4</v>
      </c>
      <c r="J77" s="3">
        <f>SUM(OSRRefD14x_6)</f>
        <v>771593.34000000008</v>
      </c>
      <c r="K77" s="3">
        <f>SUM(OSRRefD14x_7)</f>
        <v>116310.13999999997</v>
      </c>
      <c r="L77" s="3">
        <f>SUM(OSRRefD14x_8)</f>
        <v>98448.850000000049</v>
      </c>
      <c r="M77" s="3">
        <f>SUM(OSRRefD14x_9)</f>
        <v>223181.99</v>
      </c>
      <c r="N77" s="3">
        <f>SUM(OSRRefE14x_0)</f>
        <v>129488</v>
      </c>
      <c r="O77" s="3">
        <f>SUM(OSRRefE14x_1)</f>
        <v>89486</v>
      </c>
      <c r="Q77" s="3">
        <f>SUM(OSRRefG14x)</f>
        <v>3163131.75</v>
      </c>
    </row>
    <row r="78" spans="1:17" s="9" customFormat="1" hidden="1" outlineLevel="1" x14ac:dyDescent="0.25">
      <c r="A78" s="23"/>
      <c r="B78" s="10" t="str">
        <f>CONCATENATE("          ","5000", " - ","PURCHASES @ COST")</f>
        <v xml:space="preserve">          5000 - PURCHASES @ COST</v>
      </c>
      <c r="C78" s="22"/>
      <c r="D78" s="2"/>
      <c r="E78" s="2"/>
      <c r="F78" s="2">
        <v>0</v>
      </c>
      <c r="G78" s="2">
        <v>0</v>
      </c>
      <c r="H78" s="2"/>
      <c r="I78" s="2"/>
      <c r="J78" s="2">
        <v>0</v>
      </c>
      <c r="K78" s="2"/>
      <c r="L78" s="2">
        <v>0</v>
      </c>
      <c r="M78" s="2"/>
      <c r="N78" s="2">
        <v>129488</v>
      </c>
      <c r="O78" s="2">
        <v>89486</v>
      </c>
      <c r="Q78" s="2">
        <f>SUM(OSRRefD14_0x)+IFERROR(SUM(OSRRefE14_0x),0)</f>
        <v>218974</v>
      </c>
    </row>
    <row r="79" spans="1:17" s="9" customFormat="1" hidden="1" outlineLevel="1" x14ac:dyDescent="0.25">
      <c r="A79" s="23"/>
      <c r="B79" s="10" t="str">
        <f>CONCATENATE("          ","5001", " - ","PURCHASES @ COST-NEW TEXT")</f>
        <v xml:space="preserve">          5001 - PURCHASES @ COST-NEW TEXT</v>
      </c>
      <c r="C79" s="22"/>
      <c r="D79" s="2">
        <v>153110.63</v>
      </c>
      <c r="E79" s="2">
        <v>538222.14</v>
      </c>
      <c r="F79" s="2">
        <v>602088.99</v>
      </c>
      <c r="G79" s="2">
        <v>55775.07</v>
      </c>
      <c r="H79" s="2">
        <v>-108601.35</v>
      </c>
      <c r="I79" s="2">
        <v>37317.56</v>
      </c>
      <c r="J79" s="2">
        <v>381096.17</v>
      </c>
      <c r="K79" s="2">
        <v>-332593.57</v>
      </c>
      <c r="L79" s="2">
        <v>-290899.24</v>
      </c>
      <c r="M79" s="2">
        <v>-28969.93</v>
      </c>
      <c r="N79" s="2"/>
      <c r="O79" s="2"/>
      <c r="Q79" s="2">
        <f>SUM(OSRRefD14_1x)+IFERROR(SUM(OSRRefE14_1x),0)</f>
        <v>1006546.4699999999</v>
      </c>
    </row>
    <row r="80" spans="1:17" s="9" customFormat="1" hidden="1" outlineLevel="1" x14ac:dyDescent="0.25">
      <c r="A80" s="23"/>
      <c r="B80" s="10" t="str">
        <f>CONCATENATE("          ","5002", " - ","PURCHASES @ COST-USED TEXT")</f>
        <v xml:space="preserve">          5002 - PURCHASES @ COST-USED TEXT</v>
      </c>
      <c r="C80" s="22"/>
      <c r="D80" s="2">
        <v>60324.85</v>
      </c>
      <c r="E80" s="2">
        <v>128042.67</v>
      </c>
      <c r="F80" s="2">
        <v>108363.86</v>
      </c>
      <c r="G80" s="2">
        <v>6331.95</v>
      </c>
      <c r="H80" s="2">
        <v>-208829.28</v>
      </c>
      <c r="I80" s="2">
        <v>70238.87</v>
      </c>
      <c r="J80" s="2">
        <v>95863.360000000001</v>
      </c>
      <c r="K80" s="2">
        <v>121987.94</v>
      </c>
      <c r="L80" s="2">
        <v>14728.45</v>
      </c>
      <c r="M80" s="2">
        <v>-122091.65</v>
      </c>
      <c r="N80" s="2"/>
      <c r="O80" s="2"/>
      <c r="Q80" s="2">
        <f>SUM(OSRRefD14_2x)+IFERROR(SUM(OSRRefE14_2x),0)</f>
        <v>274961.02</v>
      </c>
    </row>
    <row r="81" spans="1:17" s="9" customFormat="1" hidden="1" outlineLevel="1" x14ac:dyDescent="0.25">
      <c r="A81" s="23"/>
      <c r="B81" s="10" t="str">
        <f>CONCATENATE("          ","5003", " - ","PURCHASES @ COST-RENTAL TEXT")</f>
        <v xml:space="preserve">          5003 - PURCHASES @ COST-RENTAL TEXT</v>
      </c>
      <c r="C81" s="22"/>
      <c r="D81" s="2">
        <v>-11926.64</v>
      </c>
      <c r="E81" s="2">
        <v>58.8</v>
      </c>
      <c r="F81" s="2">
        <v>781.74</v>
      </c>
      <c r="G81" s="2">
        <v>10600.69</v>
      </c>
      <c r="H81" s="2">
        <v>517.92999999999995</v>
      </c>
      <c r="I81" s="2"/>
      <c r="J81" s="2"/>
      <c r="K81" s="2"/>
      <c r="L81" s="2"/>
      <c r="M81" s="2"/>
      <c r="N81" s="2"/>
      <c r="O81" s="2"/>
      <c r="Q81" s="2">
        <f>SUM(OSRRefD14_3x)+IFERROR(SUM(OSRRefE14_3x),0)</f>
        <v>32.520000000000095</v>
      </c>
    </row>
    <row r="82" spans="1:17" s="9" customFormat="1" hidden="1" outlineLevel="1" x14ac:dyDescent="0.25">
      <c r="A82" s="23"/>
      <c r="B82" s="10" t="str">
        <f>CONCATENATE("          ","5004", " - ","PURCHASES @ COST-DIGITAL TEXT")</f>
        <v xml:space="preserve">          5004 - PURCHASES @ COST-DIGITAL TEXT</v>
      </c>
      <c r="C82" s="22"/>
      <c r="D82" s="2">
        <v>4925.4799999999996</v>
      </c>
      <c r="E82" s="2">
        <v>117504.49</v>
      </c>
      <c r="F82" s="2">
        <v>60186.1</v>
      </c>
      <c r="G82" s="2">
        <v>12903.46</v>
      </c>
      <c r="H82" s="2">
        <v>1418.58</v>
      </c>
      <c r="I82" s="2">
        <v>900</v>
      </c>
      <c r="J82" s="2">
        <v>18888.45</v>
      </c>
      <c r="K82" s="2">
        <v>3282.02</v>
      </c>
      <c r="L82" s="2">
        <v>-13446.08</v>
      </c>
      <c r="M82" s="2">
        <v>887.88</v>
      </c>
      <c r="N82" s="2"/>
      <c r="O82" s="2"/>
      <c r="Q82" s="2">
        <f>SUM(OSRRefD14_4x)+IFERROR(SUM(OSRRefE14_4x),0)</f>
        <v>207450.38</v>
      </c>
    </row>
    <row r="83" spans="1:17" s="9" customFormat="1" hidden="1" outlineLevel="1" x14ac:dyDescent="0.25">
      <c r="A83" s="23"/>
      <c r="B83" s="10" t="str">
        <f>CONCATENATE("          ","5011", " - ","PURCHASES @ COST-NO VALUE TEXT")</f>
        <v xml:space="preserve">          5011 - PURCHASES @ COST-NO VALUE TEXT</v>
      </c>
      <c r="C83" s="22"/>
      <c r="D83" s="2"/>
      <c r="E83" s="2"/>
      <c r="F83" s="2"/>
      <c r="G83" s="2">
        <v>67.17</v>
      </c>
      <c r="H83" s="2"/>
      <c r="I83" s="2"/>
      <c r="J83" s="2"/>
      <c r="K83" s="2"/>
      <c r="L83" s="2"/>
      <c r="M83" s="2"/>
      <c r="N83" s="2"/>
      <c r="O83" s="2"/>
      <c r="Q83" s="2">
        <f>SUM(OSRRefD14_5x)+IFERROR(SUM(OSRRefE14_5x),0)</f>
        <v>67.17</v>
      </c>
    </row>
    <row r="84" spans="1:17" s="9" customFormat="1" hidden="1" outlineLevel="1" x14ac:dyDescent="0.25">
      <c r="A84" s="23"/>
      <c r="B84" s="10" t="str">
        <f>CONCATENATE("          ","5013", " - ","PURCHASES @ COST-TRADE BOOKS")</f>
        <v xml:space="preserve">          5013 - PURCHASES @ COST-TRADE BOOKS</v>
      </c>
      <c r="C84" s="22"/>
      <c r="D84" s="2">
        <v>108.54</v>
      </c>
      <c r="E84" s="2"/>
      <c r="F84" s="2">
        <v>-9.36</v>
      </c>
      <c r="G84" s="2">
        <v>1384.46</v>
      </c>
      <c r="H84" s="2">
        <v>611.1</v>
      </c>
      <c r="I84" s="2">
        <v>31.11</v>
      </c>
      <c r="J84" s="2">
        <v>3531.13</v>
      </c>
      <c r="K84" s="2">
        <v>305.11</v>
      </c>
      <c r="L84" s="2">
        <v>2907.93</v>
      </c>
      <c r="M84" s="2">
        <v>800</v>
      </c>
      <c r="N84" s="2"/>
      <c r="O84" s="2"/>
      <c r="Q84" s="2">
        <f>SUM(OSRRefD14_6x)+IFERROR(SUM(OSRRefE14_6x),0)</f>
        <v>9670.02</v>
      </c>
    </row>
    <row r="85" spans="1:17" s="9" customFormat="1" hidden="1" outlineLevel="1" x14ac:dyDescent="0.25">
      <c r="A85" s="23"/>
      <c r="B85" s="10" t="str">
        <f>CONCATENATE("          ","5014", " - ","PURCHASES @ COST-REMAINDERS")</f>
        <v xml:space="preserve">          5014 - PURCHASES @ COST-REMAINDERS</v>
      </c>
      <c r="C85" s="22"/>
      <c r="D85" s="2">
        <v>-12.51</v>
      </c>
      <c r="E85" s="2"/>
      <c r="F85" s="2"/>
      <c r="G85" s="2">
        <v>102.92</v>
      </c>
      <c r="H85" s="2"/>
      <c r="I85" s="2"/>
      <c r="J85" s="2"/>
      <c r="K85" s="2">
        <v>21.16</v>
      </c>
      <c r="L85" s="2"/>
      <c r="M85" s="2"/>
      <c r="N85" s="2"/>
      <c r="O85" s="2"/>
      <c r="Q85" s="2">
        <f>SUM(OSRRefD14_7x)+IFERROR(SUM(OSRRefE14_7x),0)</f>
        <v>111.57</v>
      </c>
    </row>
    <row r="86" spans="1:17" s="9" customFormat="1" hidden="1" outlineLevel="1" x14ac:dyDescent="0.25">
      <c r="A86" s="23"/>
      <c r="B86" s="10" t="str">
        <f>CONCATENATE("          ","5018", " - ","PURCHASES @ COST-STUDY GUIDES")</f>
        <v xml:space="preserve">          5018 - PURCHASES @ COST-STUDY GUIDES</v>
      </c>
      <c r="C86" s="22"/>
      <c r="D86" s="2"/>
      <c r="E86" s="2"/>
      <c r="F86" s="2"/>
      <c r="G86" s="2"/>
      <c r="H86" s="2">
        <v>106.34</v>
      </c>
      <c r="I86" s="2"/>
      <c r="J86" s="2">
        <v>416</v>
      </c>
      <c r="K86" s="2"/>
      <c r="L86" s="2">
        <v>444.87</v>
      </c>
      <c r="M86" s="2"/>
      <c r="N86" s="2"/>
      <c r="O86" s="2"/>
      <c r="Q86" s="2">
        <f>SUM(OSRRefD14_8x)+IFERROR(SUM(OSRRefE14_8x),0)</f>
        <v>967.21</v>
      </c>
    </row>
    <row r="87" spans="1:17" s="9" customFormat="1" hidden="1" outlineLevel="1" x14ac:dyDescent="0.25">
      <c r="A87" s="23"/>
      <c r="B87" s="10" t="str">
        <f>CONCATENATE("          ","5025", " - ","PURCHASES @ COST-TEST FORMS")</f>
        <v xml:space="preserve">          5025 - PURCHASES @ COST-TEST FORMS</v>
      </c>
      <c r="C87" s="22"/>
      <c r="D87" s="2"/>
      <c r="E87" s="2"/>
      <c r="F87" s="2"/>
      <c r="G87" s="2">
        <v>599.29</v>
      </c>
      <c r="H87" s="2"/>
      <c r="I87" s="2"/>
      <c r="J87" s="2"/>
      <c r="K87" s="2"/>
      <c r="L87" s="2"/>
      <c r="M87" s="2"/>
      <c r="N87" s="2"/>
      <c r="O87" s="2"/>
      <c r="Q87" s="2">
        <f>SUM(OSRRefD14_9x)+IFERROR(SUM(OSRRefE14_9x),0)</f>
        <v>599.29</v>
      </c>
    </row>
    <row r="88" spans="1:17" s="9" customFormat="1" hidden="1" outlineLevel="1" x14ac:dyDescent="0.25">
      <c r="A88" s="23"/>
      <c r="B88" s="10" t="str">
        <f>CONCATENATE("          ","5026", " - ","PURCHASES @ COST-WRITING INSTR")</f>
        <v xml:space="preserve">          5026 - PURCHASES @ COST-WRITING INSTR</v>
      </c>
      <c r="C88" s="22"/>
      <c r="D88" s="2"/>
      <c r="E88" s="2"/>
      <c r="F88" s="2"/>
      <c r="G88" s="2">
        <v>380.02</v>
      </c>
      <c r="H88" s="2"/>
      <c r="I88" s="2">
        <v>-5.1100000000000003</v>
      </c>
      <c r="J88" s="2"/>
      <c r="K88" s="2"/>
      <c r="L88" s="2">
        <v>209.64</v>
      </c>
      <c r="M88" s="2"/>
      <c r="N88" s="2"/>
      <c r="O88" s="2"/>
      <c r="Q88" s="2">
        <f>SUM(OSRRefD14_10x)+IFERROR(SUM(OSRRefE14_10x),0)</f>
        <v>584.54999999999995</v>
      </c>
    </row>
    <row r="89" spans="1:17" s="9" customFormat="1" hidden="1" outlineLevel="1" x14ac:dyDescent="0.25">
      <c r="A89" s="23"/>
      <c r="B89" s="10" t="str">
        <f>CONCATENATE("          ","5027", " - ","PURCHASES @ COST-SCHOOL SUPPLI")</f>
        <v xml:space="preserve">          5027 - PURCHASES @ COST-SCHOOL SUPPLI</v>
      </c>
      <c r="C89" s="22"/>
      <c r="D89" s="2">
        <v>8503.4</v>
      </c>
      <c r="E89" s="2"/>
      <c r="F89" s="2"/>
      <c r="G89" s="2">
        <v>10567.95</v>
      </c>
      <c r="H89" s="2"/>
      <c r="I89" s="2"/>
      <c r="J89" s="2"/>
      <c r="K89" s="2"/>
      <c r="L89" s="2">
        <v>2824.53</v>
      </c>
      <c r="M89" s="2">
        <v>1838.72</v>
      </c>
      <c r="N89" s="2"/>
      <c r="O89" s="2"/>
      <c r="Q89" s="2">
        <f>SUM(OSRRefD14_11x)+IFERROR(SUM(OSRRefE14_11x),0)</f>
        <v>23734.6</v>
      </c>
    </row>
    <row r="90" spans="1:17" s="9" customFormat="1" hidden="1" outlineLevel="1" x14ac:dyDescent="0.25">
      <c r="A90" s="23"/>
      <c r="B90" s="10" t="str">
        <f>CONCATENATE("          ","5028", " - ","PURCHASES @ COST-ART/TECH")</f>
        <v xml:space="preserve">          5028 - PURCHASES @ COST-ART/TECH</v>
      </c>
      <c r="C90" s="22"/>
      <c r="D90" s="2"/>
      <c r="E90" s="2"/>
      <c r="F90" s="2">
        <v>-83.4</v>
      </c>
      <c r="G90" s="2">
        <v>41425.96</v>
      </c>
      <c r="H90" s="2">
        <v>15.89</v>
      </c>
      <c r="I90" s="2"/>
      <c r="J90" s="2"/>
      <c r="K90" s="2">
        <v>833.13</v>
      </c>
      <c r="L90" s="2">
        <v>3443.78</v>
      </c>
      <c r="M90" s="2">
        <v>1371.26</v>
      </c>
      <c r="N90" s="2"/>
      <c r="O90" s="2"/>
      <c r="Q90" s="2">
        <f>SUM(OSRRefD14_12x)+IFERROR(SUM(OSRRefE14_12x),0)</f>
        <v>47006.619999999995</v>
      </c>
    </row>
    <row r="91" spans="1:17" s="9" customFormat="1" hidden="1" outlineLevel="1" x14ac:dyDescent="0.25">
      <c r="A91" s="23"/>
      <c r="B91" s="10" t="str">
        <f>CONCATENATE("          ","5031", " - ","PURCHASES @ COST-FOOD")</f>
        <v xml:space="preserve">          5031 - PURCHASES @ COST-FOOD</v>
      </c>
      <c r="C91" s="22"/>
      <c r="D91" s="2"/>
      <c r="E91" s="2">
        <v>0</v>
      </c>
      <c r="F91" s="2">
        <v>4065.92</v>
      </c>
      <c r="G91" s="2">
        <v>4469.18</v>
      </c>
      <c r="H91" s="2"/>
      <c r="I91" s="2">
        <v>-1260</v>
      </c>
      <c r="J91" s="2">
        <v>239.16</v>
      </c>
      <c r="K91" s="2">
        <v>271.45999999999998</v>
      </c>
      <c r="L91" s="2"/>
      <c r="M91" s="2"/>
      <c r="N91" s="2"/>
      <c r="O91" s="2"/>
      <c r="Q91" s="2">
        <f>SUM(OSRRefD14_13x)+IFERROR(SUM(OSRRefE14_13x),0)</f>
        <v>7785.72</v>
      </c>
    </row>
    <row r="92" spans="1:17" s="9" customFormat="1" hidden="1" outlineLevel="1" x14ac:dyDescent="0.25">
      <c r="A92" s="23"/>
      <c r="B92" s="10" t="str">
        <f>CONCATENATE("          ","5040", " - ","PURCHASES @ COST-LOGO CLOTHING")</f>
        <v xml:space="preserve">          5040 - PURCHASES @ COST-LOGO CLOTHING</v>
      </c>
      <c r="C92" s="22"/>
      <c r="D92" s="2">
        <v>1723.07</v>
      </c>
      <c r="E92" s="2">
        <v>7628.83</v>
      </c>
      <c r="F92" s="2">
        <v>4398.1499999999996</v>
      </c>
      <c r="G92" s="2">
        <v>25420.9</v>
      </c>
      <c r="H92" s="2">
        <v>55124.33</v>
      </c>
      <c r="I92" s="2">
        <v>38175.120000000003</v>
      </c>
      <c r="J92" s="2">
        <v>34900.79</v>
      </c>
      <c r="K92" s="2">
        <v>26599.9</v>
      </c>
      <c r="L92" s="2">
        <v>45900.51</v>
      </c>
      <c r="M92" s="2">
        <v>39218.65</v>
      </c>
      <c r="N92" s="2"/>
      <c r="O92" s="2"/>
      <c r="Q92" s="2">
        <f>SUM(OSRRefD14_14x)+IFERROR(SUM(OSRRefE14_14x),0)</f>
        <v>279090.25</v>
      </c>
    </row>
    <row r="93" spans="1:17" s="9" customFormat="1" hidden="1" outlineLevel="1" x14ac:dyDescent="0.25">
      <c r="A93" s="23"/>
      <c r="B93" s="10" t="str">
        <f>CONCATENATE("          ","5041", " - ","PURCHASES @ COST-LOGO GIFTS")</f>
        <v xml:space="preserve">          5041 - PURCHASES @ COST-LOGO GIFTS</v>
      </c>
      <c r="C93" s="22"/>
      <c r="D93" s="2">
        <v>-713.75</v>
      </c>
      <c r="E93" s="2">
        <v>1843.29</v>
      </c>
      <c r="F93" s="2">
        <v>868</v>
      </c>
      <c r="G93" s="2">
        <v>15289.8</v>
      </c>
      <c r="H93" s="2">
        <v>9354.43</v>
      </c>
      <c r="I93" s="2">
        <v>5559.99</v>
      </c>
      <c r="J93" s="2">
        <v>8769.24</v>
      </c>
      <c r="K93" s="2">
        <v>26592.81</v>
      </c>
      <c r="L93" s="2">
        <v>899.63</v>
      </c>
      <c r="M93" s="2">
        <v>15798.51</v>
      </c>
      <c r="N93" s="2"/>
      <c r="O93" s="2"/>
      <c r="Q93" s="2">
        <f>SUM(OSRRefD14_15x)+IFERROR(SUM(OSRRefE14_15x),0)</f>
        <v>84261.95</v>
      </c>
    </row>
    <row r="94" spans="1:17" s="9" customFormat="1" hidden="1" outlineLevel="1" x14ac:dyDescent="0.25">
      <c r="A94" s="23"/>
      <c r="B94" s="10" t="str">
        <f>CONCATENATE("          ","5042", " - ","PURCHASES @ COST-EVERYDAY GIFT")</f>
        <v xml:space="preserve">          5042 - PURCHASES @ COST-EVERYDAY GIFT</v>
      </c>
      <c r="C94" s="22"/>
      <c r="D94" s="2">
        <v>236.16</v>
      </c>
      <c r="E94" s="2">
        <v>732.99</v>
      </c>
      <c r="F94" s="2">
        <v>522</v>
      </c>
      <c r="G94" s="2">
        <v>9421.5300000000007</v>
      </c>
      <c r="H94" s="2"/>
      <c r="I94" s="2">
        <v>148.6</v>
      </c>
      <c r="J94" s="2">
        <v>6760.7</v>
      </c>
      <c r="K94" s="2">
        <v>1196.2</v>
      </c>
      <c r="L94" s="2">
        <v>-270</v>
      </c>
      <c r="M94" s="2"/>
      <c r="N94" s="2"/>
      <c r="O94" s="2"/>
      <c r="Q94" s="2">
        <f>SUM(OSRRefD14_16x)+IFERROR(SUM(OSRRefE14_16x),0)</f>
        <v>18748.18</v>
      </c>
    </row>
    <row r="95" spans="1:17" s="9" customFormat="1" hidden="1" outlineLevel="1" x14ac:dyDescent="0.25">
      <c r="A95" s="23"/>
      <c r="B95" s="10" t="str">
        <f>CONCATENATE("          ","5043", " - ","PURCHASES @ COST-CARDS")</f>
        <v xml:space="preserve">          5043 - PURCHASES @ COST-CARDS</v>
      </c>
      <c r="C95" s="22"/>
      <c r="D95" s="2">
        <v>308.7</v>
      </c>
      <c r="E95" s="2">
        <v>1406.55</v>
      </c>
      <c r="F95" s="2">
        <v>1401</v>
      </c>
      <c r="G95" s="2">
        <v>2526.75</v>
      </c>
      <c r="H95" s="2">
        <v>38530.230000000003</v>
      </c>
      <c r="I95" s="2">
        <v>2448</v>
      </c>
      <c r="J95" s="2">
        <v>8743.1</v>
      </c>
      <c r="K95" s="2"/>
      <c r="L95" s="2"/>
      <c r="M95" s="2">
        <v>41</v>
      </c>
      <c r="N95" s="2"/>
      <c r="O95" s="2"/>
      <c r="Q95" s="2">
        <f>SUM(OSRRefD14_17x)+IFERROR(SUM(OSRRefE14_17x),0)</f>
        <v>55405.33</v>
      </c>
    </row>
    <row r="96" spans="1:17" s="9" customFormat="1" hidden="1" outlineLevel="1" x14ac:dyDescent="0.25">
      <c r="A96" s="23"/>
      <c r="B96" s="10" t="str">
        <f>CONCATENATE("          ","5044", " - ","PURCHASES @ COST-ACCESSORIES")</f>
        <v xml:space="preserve">          5044 - PURCHASES @ COST-ACCESSORIES</v>
      </c>
      <c r="C96" s="22"/>
      <c r="D96" s="2"/>
      <c r="E96" s="2"/>
      <c r="F96" s="2"/>
      <c r="G96" s="2"/>
      <c r="H96" s="2">
        <v>282.33</v>
      </c>
      <c r="I96" s="2"/>
      <c r="J96" s="2">
        <v>782.5</v>
      </c>
      <c r="K96" s="2"/>
      <c r="L96" s="2"/>
      <c r="M96" s="2">
        <v>1490.88</v>
      </c>
      <c r="N96" s="2"/>
      <c r="O96" s="2"/>
      <c r="Q96" s="2">
        <f>SUM(OSRRefD14_18x)+IFERROR(SUM(OSRRefE14_18x),0)</f>
        <v>2555.71</v>
      </c>
    </row>
    <row r="97" spans="1:17" s="9" customFormat="1" hidden="1" outlineLevel="1" x14ac:dyDescent="0.25">
      <c r="A97" s="23"/>
      <c r="B97" s="10" t="str">
        <f>CONCATENATE("          ","5045", " - ","PURCHASES @ COST-SPECIAL ORDER")</f>
        <v xml:space="preserve">          5045 - PURCHASES @ COST-SPECIAL ORDER</v>
      </c>
      <c r="C97" s="22"/>
      <c r="D97" s="2">
        <v>2756.21</v>
      </c>
      <c r="E97" s="2">
        <v>5633.96</v>
      </c>
      <c r="F97" s="2">
        <v>52784.12</v>
      </c>
      <c r="G97" s="2">
        <v>10080.23</v>
      </c>
      <c r="H97" s="2">
        <v>5678</v>
      </c>
      <c r="I97" s="2">
        <v>10676.48</v>
      </c>
      <c r="J97" s="2">
        <v>5855.38</v>
      </c>
      <c r="K97" s="2">
        <v>1909.13</v>
      </c>
      <c r="L97" s="2">
        <v>13853.18</v>
      </c>
      <c r="M97" s="2">
        <v>5771.38</v>
      </c>
      <c r="N97" s="2"/>
      <c r="O97" s="2"/>
      <c r="Q97" s="2">
        <f>SUM(OSRRefD14_19x)+IFERROR(SUM(OSRRefE14_19x),0)</f>
        <v>114998.07</v>
      </c>
    </row>
    <row r="98" spans="1:17" s="9" customFormat="1" hidden="1" outlineLevel="1" x14ac:dyDescent="0.25">
      <c r="A98" s="23"/>
      <c r="B98" s="10" t="str">
        <f>CONCATENATE("          ","5086", " - ","PURCHASES @ COST-COMPUTER SUPP")</f>
        <v xml:space="preserve">          5086 - PURCHASES @ COST-COMPUTER SUPP</v>
      </c>
      <c r="C98" s="22"/>
      <c r="D98" s="2"/>
      <c r="E98" s="2"/>
      <c r="F98" s="2"/>
      <c r="G98" s="2"/>
      <c r="H98" s="2"/>
      <c r="I98" s="2"/>
      <c r="J98" s="2"/>
      <c r="K98" s="2">
        <v>13.21</v>
      </c>
      <c r="L98" s="2"/>
      <c r="M98" s="2"/>
      <c r="N98" s="2"/>
      <c r="O98" s="2"/>
      <c r="Q98" s="2">
        <f>SUM(OSRRefD14_20x)+IFERROR(SUM(OSRRefE14_20x),0)</f>
        <v>13.21</v>
      </c>
    </row>
    <row r="99" spans="1:17" s="9" customFormat="1" hidden="1" outlineLevel="1" x14ac:dyDescent="0.25">
      <c r="A99" s="23"/>
      <c r="B99" s="10" t="str">
        <f>CONCATENATE("          ","5092", " - ","PURCHASES @ COST-GRAD MERCH")</f>
        <v xml:space="preserve">          5092 - PURCHASES @ COST-GRAD MERCH</v>
      </c>
      <c r="C99" s="22"/>
      <c r="D99" s="2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Q99" s="2">
        <f>SUM(OSRRefD14_21x)+IFERROR(SUM(OSRRefE14_21x),0)</f>
        <v>0</v>
      </c>
    </row>
    <row r="100" spans="1:17" s="9" customFormat="1" hidden="1" outlineLevel="1" x14ac:dyDescent="0.25">
      <c r="A100" s="23"/>
      <c r="B100" s="10" t="str">
        <f>CONCATENATE("          ","5200", " - ","PURCHASES OFFSET")</f>
        <v xml:space="preserve">          5200 - PURCHASES OFFSET</v>
      </c>
      <c r="C100" s="22"/>
      <c r="D100" s="2">
        <v>-215765.28</v>
      </c>
      <c r="E100" s="2">
        <v>-497237.3</v>
      </c>
      <c r="F100" s="2">
        <v>-821971.1</v>
      </c>
      <c r="G100" s="2">
        <v>-234183.51</v>
      </c>
      <c r="H100" s="2">
        <v>196761.91</v>
      </c>
      <c r="I100" s="2">
        <v>-172627.15</v>
      </c>
      <c r="J100" s="2">
        <v>-390760.97</v>
      </c>
      <c r="K100" s="2">
        <v>154765.96</v>
      </c>
      <c r="L100" s="2">
        <v>217068.52</v>
      </c>
      <c r="M100" s="2">
        <v>78563.789999999994</v>
      </c>
      <c r="N100" s="2"/>
      <c r="O100" s="2"/>
      <c r="Q100" s="2">
        <f>SUM(OSRRefD14_22x)+IFERROR(SUM(OSRRefE14_22x),0)</f>
        <v>-1685385.13</v>
      </c>
    </row>
    <row r="101" spans="1:17" s="9" customFormat="1" hidden="1" outlineLevel="1" x14ac:dyDescent="0.25">
      <c r="A101" s="23"/>
      <c r="B101" s="10" t="str">
        <f>CONCATENATE("          ","5300", " - ","COG$ OFFSET")</f>
        <v xml:space="preserve">          5300 - COG$ OFFSET</v>
      </c>
      <c r="C101" s="22"/>
      <c r="D101" s="2">
        <v>135628</v>
      </c>
      <c r="E101" s="2">
        <v>770429</v>
      </c>
      <c r="F101" s="2">
        <v>204421</v>
      </c>
      <c r="G101" s="2">
        <v>85211</v>
      </c>
      <c r="H101" s="2">
        <v>60951</v>
      </c>
      <c r="I101" s="2">
        <v>134493</v>
      </c>
      <c r="J101" s="2">
        <v>584457</v>
      </c>
      <c r="K101" s="2">
        <v>104323</v>
      </c>
      <c r="L101" s="2">
        <v>97595</v>
      </c>
      <c r="M101" s="2">
        <v>222888</v>
      </c>
      <c r="N101" s="2"/>
      <c r="O101" s="2"/>
      <c r="Q101" s="2">
        <f>SUM(OSRRefD14_23x)+IFERROR(SUM(OSRRefE14_23x),0)</f>
        <v>2400396</v>
      </c>
    </row>
    <row r="102" spans="1:17" s="9" customFormat="1" hidden="1" outlineLevel="1" x14ac:dyDescent="0.25">
      <c r="A102" s="23"/>
      <c r="B102" s="10" t="str">
        <f>CONCATENATE("          ","5500", " - ","FREIGHT-IN")</f>
        <v xml:space="preserve">          5500 - FREIGHT-IN</v>
      </c>
      <c r="C102" s="22"/>
      <c r="D102" s="2">
        <v>0</v>
      </c>
      <c r="E102" s="2">
        <v>0</v>
      </c>
      <c r="F102" s="2">
        <v>0</v>
      </c>
      <c r="G102" s="2"/>
      <c r="H102" s="2"/>
      <c r="I102" s="2">
        <v>0</v>
      </c>
      <c r="J102" s="2">
        <v>0</v>
      </c>
      <c r="K102" s="2">
        <v>0</v>
      </c>
      <c r="L102" s="2"/>
      <c r="M102" s="2"/>
      <c r="N102" s="2"/>
      <c r="O102" s="2"/>
      <c r="Q102" s="2">
        <f>SUM(OSRRefD14_24x)+IFERROR(SUM(OSRRefE14_24x),0)</f>
        <v>0</v>
      </c>
    </row>
    <row r="103" spans="1:17" s="9" customFormat="1" hidden="1" outlineLevel="1" x14ac:dyDescent="0.25">
      <c r="A103" s="23"/>
      <c r="B103" s="10" t="str">
        <f>CONCATENATE("          ","5501", " - ","FREIGHT-IN-NEW TEXT")</f>
        <v xml:space="preserve">          5501 - FREIGHT-IN-NEW TEXT</v>
      </c>
      <c r="C103" s="22"/>
      <c r="D103" s="2">
        <v>802.72</v>
      </c>
      <c r="E103" s="2">
        <v>4680.5600000000004</v>
      </c>
      <c r="F103" s="2">
        <v>5279.6</v>
      </c>
      <c r="G103" s="2">
        <v>23295.74</v>
      </c>
      <c r="H103" s="2">
        <v>990.19</v>
      </c>
      <c r="I103" s="2">
        <v>2414.77</v>
      </c>
      <c r="J103" s="2">
        <v>7155.21</v>
      </c>
      <c r="K103" s="2">
        <v>4638.13</v>
      </c>
      <c r="L103" s="2">
        <v>785.54</v>
      </c>
      <c r="M103" s="2">
        <v>271.27</v>
      </c>
      <c r="N103" s="2"/>
      <c r="O103" s="2"/>
      <c r="Q103" s="2">
        <f>SUM(OSRRefD14_25x)+IFERROR(SUM(OSRRefE14_25x),0)</f>
        <v>50313.729999999996</v>
      </c>
    </row>
    <row r="104" spans="1:17" s="9" customFormat="1" hidden="1" outlineLevel="1" x14ac:dyDescent="0.25">
      <c r="A104" s="23"/>
      <c r="B104" s="10" t="str">
        <f>CONCATENATE("          ","5502", " - ","FREIGHT-IN-USED TEXT")</f>
        <v xml:space="preserve">          5502 - FREIGHT-IN-USED TEXT</v>
      </c>
      <c r="C104" s="22"/>
      <c r="D104" s="2">
        <v>47.89</v>
      </c>
      <c r="E104" s="2">
        <v>1186.6600000000001</v>
      </c>
      <c r="F104" s="2">
        <v>7276.27</v>
      </c>
      <c r="G104" s="2">
        <v>2233.9</v>
      </c>
      <c r="H104" s="2">
        <v>388.37</v>
      </c>
      <c r="I104" s="2">
        <v>2389.48</v>
      </c>
      <c r="J104" s="2">
        <v>2129.7399999999998</v>
      </c>
      <c r="K104" s="2">
        <v>1484.45</v>
      </c>
      <c r="L104" s="2">
        <v>663.37</v>
      </c>
      <c r="M104" s="2">
        <v>58.77</v>
      </c>
      <c r="N104" s="2"/>
      <c r="O104" s="2"/>
      <c r="Q104" s="2">
        <f>SUM(OSRRefD14_26x)+IFERROR(SUM(OSRRefE14_26x),0)</f>
        <v>17858.899999999998</v>
      </c>
    </row>
    <row r="105" spans="1:17" s="9" customFormat="1" hidden="1" outlineLevel="1" x14ac:dyDescent="0.25">
      <c r="A105" s="23"/>
      <c r="B105" s="10" t="str">
        <f>CONCATENATE("          ","5504", " - ","FREIGHT-IN-DIGITAL TEXT")</f>
        <v xml:space="preserve">          5504 - FREIGHT-IN-DIGITAL TEXT</v>
      </c>
      <c r="C105" s="22"/>
      <c r="D105" s="2"/>
      <c r="E105" s="2"/>
      <c r="F105" s="2">
        <v>10.99</v>
      </c>
      <c r="G105" s="2">
        <v>10.99</v>
      </c>
      <c r="H105" s="2"/>
      <c r="I105" s="2"/>
      <c r="J105" s="2"/>
      <c r="K105" s="2">
        <v>6.94</v>
      </c>
      <c r="L105" s="2"/>
      <c r="M105" s="2"/>
      <c r="N105" s="2"/>
      <c r="O105" s="2"/>
      <c r="Q105" s="2">
        <f>SUM(OSRRefD14_27x)+IFERROR(SUM(OSRRefE14_27x),0)</f>
        <v>28.92</v>
      </c>
    </row>
    <row r="106" spans="1:17" s="9" customFormat="1" hidden="1" outlineLevel="1" x14ac:dyDescent="0.25">
      <c r="A106" s="23"/>
      <c r="B106" s="10" t="str">
        <f>CONCATENATE("          ","5513", " - ","FREIGHT-IN-TRADE BOOKS")</f>
        <v xml:space="preserve">          5513 - FREIGHT-IN-TRADE BOOKS</v>
      </c>
      <c r="C106" s="22"/>
      <c r="D106" s="2"/>
      <c r="E106" s="2"/>
      <c r="F106" s="2"/>
      <c r="G106" s="2"/>
      <c r="H106" s="2">
        <v>26.46</v>
      </c>
      <c r="I106" s="2"/>
      <c r="J106" s="2">
        <v>7.06</v>
      </c>
      <c r="K106" s="2"/>
      <c r="L106" s="2">
        <v>51.76</v>
      </c>
      <c r="M106" s="2"/>
      <c r="N106" s="2"/>
      <c r="O106" s="2"/>
      <c r="Q106" s="2">
        <f>SUM(OSRRefD14_28x)+IFERROR(SUM(OSRRefE14_28x),0)</f>
        <v>85.28</v>
      </c>
    </row>
    <row r="107" spans="1:17" s="9" customFormat="1" hidden="1" outlineLevel="1" x14ac:dyDescent="0.25">
      <c r="A107" s="23"/>
      <c r="B107" s="10" t="str">
        <f>CONCATENATE("          ","5525", " - ","FREIGHT-IN-TEST FORMS")</f>
        <v xml:space="preserve">          5525 - FREIGHT-IN-TEST FORMS</v>
      </c>
      <c r="C107" s="22"/>
      <c r="D107" s="2"/>
      <c r="E107" s="2"/>
      <c r="F107" s="2"/>
      <c r="G107" s="2">
        <v>48.14</v>
      </c>
      <c r="H107" s="2"/>
      <c r="I107" s="2"/>
      <c r="J107" s="2"/>
      <c r="K107" s="2"/>
      <c r="L107" s="2"/>
      <c r="M107" s="2"/>
      <c r="N107" s="2"/>
      <c r="O107" s="2"/>
      <c r="Q107" s="2">
        <f>SUM(OSRRefD14_29x)+IFERROR(SUM(OSRRefE14_29x),0)</f>
        <v>48.14</v>
      </c>
    </row>
    <row r="108" spans="1:17" s="9" customFormat="1" hidden="1" outlineLevel="1" x14ac:dyDescent="0.25">
      <c r="A108" s="23"/>
      <c r="B108" s="10" t="str">
        <f>CONCATENATE("          ","5526", " - ","FREIGHT-IN-WRITING INSTRUMENTS")</f>
        <v xml:space="preserve">          5526 - FREIGHT-IN-WRITING INSTRUMENTS</v>
      </c>
      <c r="C108" s="22"/>
      <c r="D108" s="2"/>
      <c r="E108" s="2"/>
      <c r="F108" s="2"/>
      <c r="G108" s="2"/>
      <c r="H108" s="2"/>
      <c r="I108" s="2">
        <v>0</v>
      </c>
      <c r="J108" s="2"/>
      <c r="K108" s="2"/>
      <c r="L108" s="2"/>
      <c r="M108" s="2"/>
      <c r="N108" s="2"/>
      <c r="O108" s="2"/>
      <c r="Q108" s="2">
        <f>SUM(OSRRefD14_30x)+IFERROR(SUM(OSRRefE14_30x),0)</f>
        <v>0</v>
      </c>
    </row>
    <row r="109" spans="1:17" s="9" customFormat="1" hidden="1" outlineLevel="1" x14ac:dyDescent="0.25">
      <c r="A109" s="23"/>
      <c r="B109" s="10" t="str">
        <f>CONCATENATE("          ","5527", " - ","FREIGHT-IN-SCHOOL SUPPLIES")</f>
        <v xml:space="preserve">          5527 - FREIGHT-IN-SCHOOL SUPPLIES</v>
      </c>
      <c r="C109" s="22"/>
      <c r="D109" s="2"/>
      <c r="E109" s="2"/>
      <c r="F109" s="2"/>
      <c r="G109" s="2">
        <v>56</v>
      </c>
      <c r="H109" s="2"/>
      <c r="I109" s="2">
        <v>121.5</v>
      </c>
      <c r="J109" s="2"/>
      <c r="K109" s="2"/>
      <c r="L109" s="2">
        <v>41.12</v>
      </c>
      <c r="M109" s="2"/>
      <c r="N109" s="2"/>
      <c r="O109" s="2"/>
      <c r="Q109" s="2">
        <f>SUM(OSRRefD14_31x)+IFERROR(SUM(OSRRefE14_31x),0)</f>
        <v>218.62</v>
      </c>
    </row>
    <row r="110" spans="1:17" s="9" customFormat="1" hidden="1" outlineLevel="1" x14ac:dyDescent="0.25">
      <c r="A110" s="23"/>
      <c r="B110" s="10" t="str">
        <f>CONCATENATE("          ","5528", " - ","FREIGHT-IN-ART/TECH")</f>
        <v xml:space="preserve">          5528 - FREIGHT-IN-ART/TECH</v>
      </c>
      <c r="C110" s="22"/>
      <c r="D110" s="2">
        <v>38.049999999999997</v>
      </c>
      <c r="E110" s="2"/>
      <c r="F110" s="2">
        <v>6.76</v>
      </c>
      <c r="G110" s="2">
        <v>239.39</v>
      </c>
      <c r="H110" s="2">
        <v>1.72</v>
      </c>
      <c r="I110" s="2">
        <v>4.29</v>
      </c>
      <c r="J110" s="2">
        <v>48.53</v>
      </c>
      <c r="K110" s="2">
        <v>12.76</v>
      </c>
      <c r="L110" s="2">
        <v>103.71</v>
      </c>
      <c r="M110" s="2">
        <v>89.22</v>
      </c>
      <c r="N110" s="2"/>
      <c r="O110" s="2"/>
      <c r="Q110" s="2">
        <f>SUM(OSRRefD14_32x)+IFERROR(SUM(OSRRefE14_32x),0)</f>
        <v>544.42999999999995</v>
      </c>
    </row>
    <row r="111" spans="1:17" s="9" customFormat="1" hidden="1" outlineLevel="1" x14ac:dyDescent="0.25">
      <c r="A111" s="23"/>
      <c r="B111" s="10" t="str">
        <f>CONCATENATE("          ","5540", " - ","FREIGHT-IN-LOGO CLOTHING")</f>
        <v xml:space="preserve">          5540 - FREIGHT-IN-LOGO CLOTHING</v>
      </c>
      <c r="C111" s="22"/>
      <c r="D111" s="2">
        <v>909.83</v>
      </c>
      <c r="E111" s="2">
        <v>1021.7</v>
      </c>
      <c r="F111" s="2">
        <v>234.23</v>
      </c>
      <c r="G111" s="2">
        <v>1036.57</v>
      </c>
      <c r="H111" s="2">
        <v>1333.15</v>
      </c>
      <c r="I111" s="2">
        <v>907.48</v>
      </c>
      <c r="J111" s="2">
        <v>347.67</v>
      </c>
      <c r="K111" s="2">
        <v>150.6</v>
      </c>
      <c r="L111" s="2">
        <v>1167.1400000000001</v>
      </c>
      <c r="M111" s="2">
        <v>2107.65</v>
      </c>
      <c r="N111" s="2"/>
      <c r="O111" s="2"/>
      <c r="Q111" s="2">
        <f>SUM(OSRRefD14_33x)+IFERROR(SUM(OSRRefE14_33x),0)</f>
        <v>9216.02</v>
      </c>
    </row>
    <row r="112" spans="1:17" s="9" customFormat="1" hidden="1" outlineLevel="1" x14ac:dyDescent="0.25">
      <c r="A112" s="23"/>
      <c r="B112" s="10" t="str">
        <f>CONCATENATE("          ","5541", " - ","FREIGHT-IN-LOGO GIFTS")</f>
        <v xml:space="preserve">          5541 - FREIGHT-IN-LOGO GIFTS</v>
      </c>
      <c r="C112" s="22"/>
      <c r="D112" s="2">
        <v>83.58</v>
      </c>
      <c r="E112" s="2">
        <v>123.12</v>
      </c>
      <c r="F112" s="2">
        <v>154.41</v>
      </c>
      <c r="G112" s="2">
        <v>773.7</v>
      </c>
      <c r="H112" s="2">
        <v>301.06</v>
      </c>
      <c r="I112" s="2">
        <v>84.07</v>
      </c>
      <c r="J112" s="2">
        <v>182.93</v>
      </c>
      <c r="K112" s="2">
        <v>375.06</v>
      </c>
      <c r="L112" s="2">
        <v>60.07</v>
      </c>
      <c r="M112" s="2">
        <v>2877.99</v>
      </c>
      <c r="N112" s="2"/>
      <c r="O112" s="2"/>
      <c r="Q112" s="2">
        <f>SUM(OSRRefD14_34x)+IFERROR(SUM(OSRRefE14_34x),0)</f>
        <v>5015.99</v>
      </c>
    </row>
    <row r="113" spans="1:17" s="9" customFormat="1" hidden="1" outlineLevel="1" x14ac:dyDescent="0.25">
      <c r="A113" s="23"/>
      <c r="B113" s="10" t="str">
        <f>CONCATENATE("          ","5542", " - ","FREIGHT-IN-EVERYDAY GIFTS")</f>
        <v xml:space="preserve">          5542 - FREIGHT-IN-EVERYDAY GIFTS</v>
      </c>
      <c r="C113" s="22"/>
      <c r="D113" s="2">
        <v>5.94</v>
      </c>
      <c r="E113" s="2"/>
      <c r="F113" s="2">
        <v>65.44</v>
      </c>
      <c r="G113" s="2">
        <v>104.17</v>
      </c>
      <c r="H113" s="2">
        <v>21</v>
      </c>
      <c r="I113" s="2"/>
      <c r="J113" s="2">
        <v>187.38</v>
      </c>
      <c r="K113" s="2"/>
      <c r="L113" s="2">
        <v>297.79000000000002</v>
      </c>
      <c r="M113" s="2"/>
      <c r="N113" s="2"/>
      <c r="O113" s="2"/>
      <c r="Q113" s="2">
        <f>SUM(OSRRefD14_35x)+IFERROR(SUM(OSRRefE14_35x),0)</f>
        <v>681.72</v>
      </c>
    </row>
    <row r="114" spans="1:17" s="9" customFormat="1" hidden="1" outlineLevel="1" x14ac:dyDescent="0.25">
      <c r="A114" s="23"/>
      <c r="B114" s="10" t="str">
        <f>CONCATENATE("          ","5543", " - ","FREIGHT-IN-CARDS")</f>
        <v xml:space="preserve">          5543 - FREIGHT-IN-CARDS</v>
      </c>
      <c r="C114" s="22"/>
      <c r="D114" s="2"/>
      <c r="E114" s="2"/>
      <c r="F114" s="2">
        <v>81.77</v>
      </c>
      <c r="G114" s="2">
        <v>107.42</v>
      </c>
      <c r="H114" s="2">
        <v>6323.12</v>
      </c>
      <c r="I114" s="2">
        <v>605.41</v>
      </c>
      <c r="J114" s="2">
        <v>1992.81</v>
      </c>
      <c r="K114" s="2"/>
      <c r="L114" s="2"/>
      <c r="M114" s="2"/>
      <c r="N114" s="2"/>
      <c r="O114" s="2"/>
      <c r="Q114" s="2">
        <f>SUM(OSRRefD14_36x)+IFERROR(SUM(OSRRefE14_36x),0)</f>
        <v>9110.5299999999988</v>
      </c>
    </row>
    <row r="115" spans="1:17" s="9" customFormat="1" hidden="1" outlineLevel="1" x14ac:dyDescent="0.25">
      <c r="A115" s="23"/>
      <c r="B115" s="10" t="str">
        <f>CONCATENATE("          ","5545", " - ","FREIGHT-IN-SPECIAL ORDERS")</f>
        <v xml:space="preserve">          5545 - FREIGHT-IN-SPECIAL ORDERS</v>
      </c>
      <c r="C115" s="22"/>
      <c r="D115" s="2">
        <v>300.39999999999998</v>
      </c>
      <c r="E115" s="2">
        <v>145.6</v>
      </c>
      <c r="F115" s="2">
        <v>214.61</v>
      </c>
      <c r="G115" s="2">
        <v>189.66</v>
      </c>
      <c r="H115" s="2">
        <v>37.590000000000003</v>
      </c>
      <c r="I115" s="2">
        <v>225.93</v>
      </c>
      <c r="J115" s="2"/>
      <c r="K115" s="2">
        <v>134.74</v>
      </c>
      <c r="L115" s="2">
        <v>17.63</v>
      </c>
      <c r="M115" s="2">
        <v>168.6</v>
      </c>
      <c r="N115" s="2"/>
      <c r="O115" s="2"/>
      <c r="Q115" s="2">
        <f>SUM(OSRRefD14_37x)+IFERROR(SUM(OSRRefE14_37x),0)</f>
        <v>1434.76</v>
      </c>
    </row>
    <row r="116" spans="1:17" s="9" customFormat="1" hidden="1" outlineLevel="1" x14ac:dyDescent="0.25">
      <c r="A116" s="23"/>
      <c r="B116" s="10" t="str">
        <f>CONCATENATE("          ","5592", " - ","FREIGHT-IN-GRAD MERCH")</f>
        <v xml:space="preserve">          5592 - FREIGHT-IN-GRAD MERCH</v>
      </c>
      <c r="C116" s="22"/>
      <c r="D116" s="2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>
        <f>SUM(OSRRefD14_38x)+IFERROR(SUM(OSRRefE14_38x),0)</f>
        <v>0</v>
      </c>
    </row>
    <row r="117" spans="1:17" x14ac:dyDescent="0.2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25">
      <c r="A118" s="6"/>
      <c r="B118" s="17" t="s">
        <v>105</v>
      </c>
      <c r="C118" s="17"/>
      <c r="D118" s="8">
        <f t="shared" ref="D118:O118" si="36">IFERROR(+D10-D77, 0)</f>
        <v>86271.979999999923</v>
      </c>
      <c r="E118" s="8">
        <f t="shared" si="36"/>
        <v>515666.05000000005</v>
      </c>
      <c r="F118" s="8">
        <f t="shared" si="36"/>
        <v>138003.76999999999</v>
      </c>
      <c r="G118" s="8">
        <f t="shared" si="36"/>
        <v>73638.530000000072</v>
      </c>
      <c r="H118" s="8">
        <f t="shared" si="36"/>
        <v>49628.56</v>
      </c>
      <c r="I118" s="8">
        <f t="shared" si="36"/>
        <v>100782.33999999997</v>
      </c>
      <c r="J118" s="8">
        <f t="shared" si="36"/>
        <v>407230.3899999999</v>
      </c>
      <c r="K118" s="8">
        <f t="shared" si="36"/>
        <v>86530.010000000053</v>
      </c>
      <c r="L118" s="8">
        <f t="shared" si="36"/>
        <v>85445.820000000022</v>
      </c>
      <c r="M118" s="8">
        <f t="shared" si="36"/>
        <v>215284.22000000009</v>
      </c>
      <c r="N118" s="8">
        <f t="shared" si="36"/>
        <v>129538.5</v>
      </c>
      <c r="O118" s="8">
        <f t="shared" si="36"/>
        <v>99530.9</v>
      </c>
      <c r="Q118" s="8">
        <f>IFERROR(+Q10-Q77, 0)</f>
        <v>1987551.0699999984</v>
      </c>
    </row>
    <row r="119" spans="1:17" s="6" customFormat="1" x14ac:dyDescent="0.25">
      <c r="B119" s="16"/>
      <c r="C119" s="16"/>
      <c r="D119" s="4">
        <f t="shared" ref="D119:O119" si="37">IFERROR(D118/D10, 0)</f>
        <v>0.37893891194275831</v>
      </c>
      <c r="E119" s="4">
        <f t="shared" si="37"/>
        <v>0.32287869648049877</v>
      </c>
      <c r="F119" s="4">
        <f t="shared" si="37"/>
        <v>0.37384718362739267</v>
      </c>
      <c r="G119" s="4">
        <f t="shared" si="37"/>
        <v>0.45992740072187094</v>
      </c>
      <c r="H119" s="4">
        <f t="shared" si="37"/>
        <v>0.44721429584548106</v>
      </c>
      <c r="I119" s="4">
        <f t="shared" si="37"/>
        <v>0.43137263798146597</v>
      </c>
      <c r="J119" s="4">
        <f t="shared" si="37"/>
        <v>0.34545486287419741</v>
      </c>
      <c r="K119" s="4">
        <f t="shared" si="37"/>
        <v>0.42659212192457974</v>
      </c>
      <c r="L119" s="4">
        <f t="shared" si="37"/>
        <v>0.46464544078411835</v>
      </c>
      <c r="M119" s="4">
        <f t="shared" si="37"/>
        <v>0.49099386700744863</v>
      </c>
      <c r="N119" s="4">
        <f t="shared" si="37"/>
        <v>0.50009748037362978</v>
      </c>
      <c r="O119" s="4">
        <f t="shared" si="37"/>
        <v>0.52657143355964464</v>
      </c>
      <c r="P119" s="18"/>
      <c r="Q119" s="4">
        <f>IFERROR(Q118/Q10, 0)</f>
        <v>0.38588108401518678</v>
      </c>
    </row>
    <row r="120" spans="1:17" x14ac:dyDescent="0.25">
      <c r="A120" s="5"/>
      <c r="B120" s="6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</row>
    <row r="121" spans="1:17" s="15" customFormat="1" x14ac:dyDescent="0.25">
      <c r="A121" s="6"/>
      <c r="B121" s="16" t="s">
        <v>254</v>
      </c>
      <c r="C121" s="6"/>
      <c r="D121" s="14">
        <f>SUM(OSRRefD20x_0)</f>
        <v>318600.80000000005</v>
      </c>
      <c r="E121" s="14">
        <f>SUM(OSRRefD20x_1)</f>
        <v>223887.89999999997</v>
      </c>
      <c r="F121" s="14">
        <f>SUM(OSRRefD20x_2)</f>
        <v>259799.44000000003</v>
      </c>
      <c r="G121" s="14">
        <f>SUM(OSRRefD20x_3)</f>
        <v>320952.99</v>
      </c>
      <c r="H121" s="14">
        <f>SUM(OSRRefD20x_4)</f>
        <v>235558.72000000003</v>
      </c>
      <c r="I121" s="14">
        <f>SUM(OSRRefD20x_5)</f>
        <v>248625.32000000004</v>
      </c>
      <c r="J121" s="14">
        <f>SUM(OSRRefD20x_6)</f>
        <v>298970.27</v>
      </c>
      <c r="K121" s="14">
        <f>SUM(OSRRefD20x_7)</f>
        <v>249679.34</v>
      </c>
      <c r="L121" s="14">
        <f>SUM(OSRRefD20x_8)</f>
        <v>226680.25999999995</v>
      </c>
      <c r="M121" s="14">
        <f>SUM(OSRRefD20x_9)</f>
        <v>255576.61</v>
      </c>
      <c r="N121" s="14">
        <f>SUM(OSRRefE20x_0)</f>
        <v>277910.99952548277</v>
      </c>
      <c r="O121" s="14">
        <f>SUM(OSRRefE20x_1)</f>
        <v>267136.03481054521</v>
      </c>
      <c r="Q121" s="14">
        <f>SUM(OSRRefG20x)</f>
        <v>3183378.6843360276</v>
      </c>
    </row>
    <row r="122" spans="1:17" s="34" customFormat="1" collapsed="1" x14ac:dyDescent="0.25">
      <c r="A122" s="35"/>
      <c r="B122" s="11" t="str">
        <f>CONCATENATE("     ","*Benefits                                         ")</f>
        <v xml:space="preserve">     *Benefits                                         </v>
      </c>
      <c r="C122" s="11"/>
      <c r="D122" s="1">
        <f>SUM(OSRRefD21_0x_0)</f>
        <v>40666.47</v>
      </c>
      <c r="E122" s="1">
        <f>SUM(OSRRefD21_0x_1)</f>
        <v>45446.26</v>
      </c>
      <c r="F122" s="1">
        <f>SUM(OSRRefD21_0x_2)</f>
        <v>46877.819999999992</v>
      </c>
      <c r="G122" s="1">
        <f>SUM(OSRRefD21_0x_3)</f>
        <v>47918.080000000002</v>
      </c>
      <c r="H122" s="1">
        <f>SUM(OSRRefD21_0x_4)</f>
        <v>43633.14</v>
      </c>
      <c r="I122" s="1">
        <f>SUM(OSRRefD21_0x_5)</f>
        <v>43322.83</v>
      </c>
      <c r="J122" s="1">
        <f>SUM(OSRRefD21_0x_6)</f>
        <v>51590.869999999995</v>
      </c>
      <c r="K122" s="1">
        <f>SUM(OSRRefD21_0x_7)</f>
        <v>45174.219999999994</v>
      </c>
      <c r="L122" s="1">
        <f>SUM(OSRRefD21_0x_8)</f>
        <v>45623.819999999992</v>
      </c>
      <c r="M122" s="1">
        <f>SUM(OSRRefD21_0x_9)</f>
        <v>53608.380000000005</v>
      </c>
      <c r="N122" s="1">
        <f>SUM(OSRRefE21_0x_0)</f>
        <v>46482.089351021146</v>
      </c>
      <c r="O122" s="1">
        <f>SUM(OSRRefE21_0x_1)</f>
        <v>48897.235886083603</v>
      </c>
      <c r="Q122" s="2">
        <f>SUM(OSRRefD20_0x)+IFERROR(SUM(OSRRefE20_0x),0)</f>
        <v>559241.2152371048</v>
      </c>
    </row>
    <row r="123" spans="1:17" s="34" customFormat="1" hidden="1" outlineLevel="1" x14ac:dyDescent="0.25">
      <c r="A123" s="35"/>
      <c r="B123" s="10" t="str">
        <f>CONCATENATE("          ","6111", " - ","F.I.C.A.")</f>
        <v xml:space="preserve">          6111 - F.I.C.A.</v>
      </c>
      <c r="C123" s="11"/>
      <c r="D123" s="2">
        <v>7566.94</v>
      </c>
      <c r="E123" s="2">
        <v>10736.45</v>
      </c>
      <c r="F123" s="2">
        <v>11303.64</v>
      </c>
      <c r="G123" s="2">
        <v>12100.84</v>
      </c>
      <c r="H123" s="2">
        <v>6492.33</v>
      </c>
      <c r="I123" s="2">
        <v>7317.04</v>
      </c>
      <c r="J123" s="2">
        <v>7931.47</v>
      </c>
      <c r="K123" s="2">
        <v>7541.13</v>
      </c>
      <c r="L123" s="2">
        <v>7478.02</v>
      </c>
      <c r="M123" s="2">
        <v>10750.32</v>
      </c>
      <c r="N123" s="2">
        <v>7299.5399695788501</v>
      </c>
      <c r="O123" s="2">
        <v>10045.7821895163</v>
      </c>
      <c r="P123" s="9"/>
      <c r="Q123" s="2">
        <f>SUM(OSRRefD21_0_0x)+IFERROR(SUM(OSRRefE21_0_0x),0)</f>
        <v>106563.50215909514</v>
      </c>
    </row>
    <row r="124" spans="1:17" s="34" customFormat="1" hidden="1" outlineLevel="1" x14ac:dyDescent="0.25">
      <c r="A124" s="35"/>
      <c r="B124" s="10" t="str">
        <f>CONCATENATE("          ","6112", " - ","COMPENSATION INSURANCE")</f>
        <v xml:space="preserve">          6112 - COMPENSATION INSURANCE</v>
      </c>
      <c r="C124" s="11"/>
      <c r="D124" s="2">
        <v>1779.03</v>
      </c>
      <c r="E124" s="2">
        <v>2365.1</v>
      </c>
      <c r="F124" s="2">
        <v>4070.32</v>
      </c>
      <c r="G124" s="2">
        <v>1743.97</v>
      </c>
      <c r="H124" s="2">
        <v>2778.24</v>
      </c>
      <c r="I124" s="2">
        <v>2948.75</v>
      </c>
      <c r="J124" s="2">
        <v>804.16</v>
      </c>
      <c r="K124" s="2">
        <v>1772.31</v>
      </c>
      <c r="L124" s="2">
        <v>1716.92</v>
      </c>
      <c r="M124" s="2">
        <v>1599.53</v>
      </c>
      <c r="N124" s="2">
        <v>2671.6795100961599</v>
      </c>
      <c r="O124" s="2">
        <v>2464.8844519711602</v>
      </c>
      <c r="P124" s="9"/>
      <c r="Q124" s="2">
        <f>SUM(OSRRefD21_0_1x)+IFERROR(SUM(OSRRefE21_0_1x),0)</f>
        <v>26714.893962067323</v>
      </c>
    </row>
    <row r="125" spans="1:17" s="34" customFormat="1" hidden="1" outlineLevel="1" x14ac:dyDescent="0.25">
      <c r="A125" s="35"/>
      <c r="B125" s="10" t="str">
        <f>CONCATENATE("          ","6113", " - ","GROUP INSURANCE")</f>
        <v xml:space="preserve">          6113 - GROUP INSURANCE</v>
      </c>
      <c r="C125" s="11"/>
      <c r="D125" s="2">
        <v>13468.68</v>
      </c>
      <c r="E125" s="2">
        <v>15535.39</v>
      </c>
      <c r="F125" s="2">
        <v>14780.92</v>
      </c>
      <c r="G125" s="2">
        <v>14801.22</v>
      </c>
      <c r="H125" s="2">
        <v>14801.22</v>
      </c>
      <c r="I125" s="2">
        <v>15010.27</v>
      </c>
      <c r="J125" s="2">
        <v>21620.29</v>
      </c>
      <c r="K125" s="2">
        <v>18287.8</v>
      </c>
      <c r="L125" s="2">
        <v>18280.3</v>
      </c>
      <c r="M125" s="2">
        <v>18284.05</v>
      </c>
      <c r="N125" s="2">
        <v>18602.884615384599</v>
      </c>
      <c r="O125" s="2">
        <v>18602.884615384599</v>
      </c>
      <c r="P125" s="9"/>
      <c r="Q125" s="2">
        <f>SUM(OSRRefD21_0_2x)+IFERROR(SUM(OSRRefE21_0_2x),0)</f>
        <v>202075.90923076918</v>
      </c>
    </row>
    <row r="126" spans="1:17" s="34" customFormat="1" hidden="1" outlineLevel="1" x14ac:dyDescent="0.25">
      <c r="A126" s="35"/>
      <c r="B126" s="10" t="str">
        <f>CONCATENATE("          ","6114", " - ","STATE UNEMPLOYMENT INSURANCE")</f>
        <v xml:space="preserve">          6114 - STATE UNEMPLOYMENT INSURANCE</v>
      </c>
      <c r="C126" s="11"/>
      <c r="D126" s="2">
        <v>275.08999999999997</v>
      </c>
      <c r="E126" s="2">
        <v>373.18</v>
      </c>
      <c r="F126" s="2">
        <v>487.57</v>
      </c>
      <c r="G126" s="2">
        <v>302.25</v>
      </c>
      <c r="H126" s="2">
        <v>510.18</v>
      </c>
      <c r="I126" s="2"/>
      <c r="J126" s="2">
        <v>667.99</v>
      </c>
      <c r="K126" s="2">
        <v>314.29000000000002</v>
      </c>
      <c r="L126" s="2">
        <v>305.79000000000002</v>
      </c>
      <c r="M126" s="2">
        <v>297.08999999999997</v>
      </c>
      <c r="N126" s="2">
        <v>375.47928250000001</v>
      </c>
      <c r="O126" s="2">
        <v>346.41619324999999</v>
      </c>
      <c r="P126" s="9"/>
      <c r="Q126" s="2">
        <f>SUM(OSRRefD21_0_3x)+IFERROR(SUM(OSRRefE21_0_3x),0)</f>
        <v>4255.3254757499999</v>
      </c>
    </row>
    <row r="127" spans="1:17" s="34" customFormat="1" hidden="1" outlineLevel="1" x14ac:dyDescent="0.25">
      <c r="A127" s="35"/>
      <c r="B127" s="10" t="str">
        <f>CONCATENATE("          ","6115", " - ","P.E.R.S.")</f>
        <v xml:space="preserve">          6115 - P.E.R.S.</v>
      </c>
      <c r="C127" s="11"/>
      <c r="D127" s="2">
        <v>8158.49</v>
      </c>
      <c r="E127" s="2">
        <v>6155.57</v>
      </c>
      <c r="F127" s="2">
        <v>5930.47</v>
      </c>
      <c r="G127" s="2">
        <v>4938.6400000000003</v>
      </c>
      <c r="H127" s="2">
        <v>8378.09</v>
      </c>
      <c r="I127" s="2">
        <v>6456.79</v>
      </c>
      <c r="J127" s="2">
        <v>9507.2199999999993</v>
      </c>
      <c r="K127" s="2">
        <v>6291.44</v>
      </c>
      <c r="L127" s="2">
        <v>6355.43</v>
      </c>
      <c r="M127" s="2">
        <v>6172.91</v>
      </c>
      <c r="N127" s="2">
        <v>5905.5543092307598</v>
      </c>
      <c r="O127" s="2">
        <v>5905.5543092307598</v>
      </c>
      <c r="P127" s="9"/>
      <c r="Q127" s="2">
        <f>SUM(OSRRefD21_0_4x)+IFERROR(SUM(OSRRefE21_0_4x),0)</f>
        <v>80156.158618461515</v>
      </c>
    </row>
    <row r="128" spans="1:17" s="34" customFormat="1" hidden="1" outlineLevel="1" x14ac:dyDescent="0.25">
      <c r="A128" s="35"/>
      <c r="B128" s="10" t="str">
        <f>CONCATENATE("          ","6116", " - ","EDUCATIONAL BENEFITS")</f>
        <v xml:space="preserve">          6116 - EDUCATIONAL BENEFITS</v>
      </c>
      <c r="C128" s="11"/>
      <c r="D128" s="2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>
        <v>0</v>
      </c>
      <c r="O128" s="2">
        <v>0</v>
      </c>
      <c r="P128" s="9"/>
      <c r="Q128" s="2">
        <f>SUM(OSRRefD21_0_5x)+IFERROR(SUM(OSRRefE21_0_5x),0)</f>
        <v>0</v>
      </c>
    </row>
    <row r="129" spans="1:17" s="34" customFormat="1" hidden="1" outlineLevel="1" x14ac:dyDescent="0.25">
      <c r="A129" s="35"/>
      <c r="B129" s="10" t="str">
        <f>CONCATENATE("          ","6117", " - ","RETIREMENT STAFF HOURLY")</f>
        <v xml:space="preserve">          6117 - RETIREMENT STAFF HOURLY</v>
      </c>
      <c r="C129" s="11"/>
      <c r="D129" s="2">
        <v>333.14</v>
      </c>
      <c r="E129" s="2">
        <v>255.65</v>
      </c>
      <c r="F129" s="2">
        <v>248.98</v>
      </c>
      <c r="G129" s="2">
        <v>222.97</v>
      </c>
      <c r="H129" s="2">
        <v>232.91</v>
      </c>
      <c r="I129" s="2">
        <v>440.47</v>
      </c>
      <c r="J129" s="2">
        <v>506.92</v>
      </c>
      <c r="K129" s="2">
        <v>509.38</v>
      </c>
      <c r="L129" s="2">
        <v>650.84</v>
      </c>
      <c r="M129" s="2">
        <v>359.71</v>
      </c>
      <c r="N129" s="2"/>
      <c r="O129" s="2"/>
      <c r="P129" s="9"/>
      <c r="Q129" s="2">
        <f>SUM(OSRRefD21_0_6x)+IFERROR(SUM(OSRRefE21_0_6x),0)</f>
        <v>3760.9700000000003</v>
      </c>
    </row>
    <row r="130" spans="1:17" s="34" customFormat="1" hidden="1" outlineLevel="1" x14ac:dyDescent="0.25">
      <c r="A130" s="35"/>
      <c r="B130" s="10" t="str">
        <f>CONCATENATE("          ","6118", " - ","VACATION")</f>
        <v xml:space="preserve">          6118 - VACATION</v>
      </c>
      <c r="C130" s="11"/>
      <c r="D130" s="2">
        <v>4733.7</v>
      </c>
      <c r="E130" s="2">
        <v>4990.96</v>
      </c>
      <c r="F130" s="2">
        <v>4704.91</v>
      </c>
      <c r="G130" s="2">
        <v>6844.14</v>
      </c>
      <c r="H130" s="2">
        <v>5161.6000000000004</v>
      </c>
      <c r="I130" s="2">
        <v>5850.94</v>
      </c>
      <c r="J130" s="2">
        <v>5779.06</v>
      </c>
      <c r="K130" s="2">
        <v>5425.16</v>
      </c>
      <c r="L130" s="2">
        <v>5455.57</v>
      </c>
      <c r="M130" s="2">
        <v>8608.57</v>
      </c>
      <c r="N130" s="2">
        <v>5019.17424769231</v>
      </c>
      <c r="O130" s="2">
        <v>5019.17424769231</v>
      </c>
      <c r="P130" s="9"/>
      <c r="Q130" s="2">
        <f>SUM(OSRRefD21_0_7x)+IFERROR(SUM(OSRRefE21_0_7x),0)</f>
        <v>67592.958495384621</v>
      </c>
    </row>
    <row r="131" spans="1:17" s="34" customFormat="1" hidden="1" outlineLevel="1" x14ac:dyDescent="0.25">
      <c r="A131" s="35"/>
      <c r="B131" s="10" t="str">
        <f>CONCATENATE("          ","6119", " - ","SICK LEAVE")</f>
        <v xml:space="preserve">          6119 - SICK LEAVE</v>
      </c>
      <c r="C131" s="11"/>
      <c r="D131" s="2">
        <v>3335.98</v>
      </c>
      <c r="E131" s="2">
        <v>3619.21</v>
      </c>
      <c r="F131" s="2">
        <v>3523.27</v>
      </c>
      <c r="G131" s="2">
        <v>5141</v>
      </c>
      <c r="H131" s="2">
        <v>3729.66</v>
      </c>
      <c r="I131" s="2">
        <v>4031.99</v>
      </c>
      <c r="J131" s="2">
        <v>3939.34</v>
      </c>
      <c r="K131" s="2">
        <v>3824.03</v>
      </c>
      <c r="L131" s="2">
        <v>3824.03</v>
      </c>
      <c r="M131" s="2">
        <v>5736.04</v>
      </c>
      <c r="N131" s="2">
        <v>4632.7774165384699</v>
      </c>
      <c r="O131" s="2">
        <v>4537.5398790384697</v>
      </c>
      <c r="P131" s="9"/>
      <c r="Q131" s="2">
        <f>SUM(OSRRefD21_0_8x)+IFERROR(SUM(OSRRefE21_0_8x),0)</f>
        <v>49874.867295576943</v>
      </c>
    </row>
    <row r="132" spans="1:17" s="34" customFormat="1" hidden="1" outlineLevel="1" x14ac:dyDescent="0.25">
      <c r="A132" s="35"/>
      <c r="B132" s="10" t="str">
        <f>CONCATENATE("          ","6156", " - ","EMPLOYEE MEALS")</f>
        <v xml:space="preserve">          6156 - EMPLOYEE MEALS</v>
      </c>
      <c r="C132" s="11"/>
      <c r="D132" s="2">
        <v>1015.42</v>
      </c>
      <c r="E132" s="2">
        <v>1414.75</v>
      </c>
      <c r="F132" s="2">
        <v>1827.74</v>
      </c>
      <c r="G132" s="2">
        <v>1823.05</v>
      </c>
      <c r="H132" s="2">
        <v>1548.91</v>
      </c>
      <c r="I132" s="2">
        <v>1266.58</v>
      </c>
      <c r="J132" s="2">
        <v>834.42</v>
      </c>
      <c r="K132" s="2">
        <v>1208.68</v>
      </c>
      <c r="L132" s="2">
        <v>1556.92</v>
      </c>
      <c r="M132" s="2">
        <v>1800.16</v>
      </c>
      <c r="N132" s="2">
        <v>1975</v>
      </c>
      <c r="O132" s="2">
        <v>1975</v>
      </c>
      <c r="P132" s="9"/>
      <c r="Q132" s="2">
        <f>SUM(OSRRefD21_0_9x)+IFERROR(SUM(OSRRefE21_0_9x),0)</f>
        <v>18246.63</v>
      </c>
    </row>
    <row r="133" spans="1:17" s="34" customFormat="1" collapsed="1" x14ac:dyDescent="0.25">
      <c r="A133" s="35"/>
      <c r="B133" s="11" t="str">
        <f>CONCATENATE("     ","*Payroll                                          ")</f>
        <v xml:space="preserve">     *Payroll                                          </v>
      </c>
      <c r="C133" s="11"/>
      <c r="D133" s="1">
        <f>SUM(OSRRefD21_1x_0)</f>
        <v>120477.56000000001</v>
      </c>
      <c r="E133" s="1">
        <f>SUM(OSRRefD21_1x_1)</f>
        <v>159836.01</v>
      </c>
      <c r="F133" s="1">
        <f>SUM(OSRRefD21_1x_2)</f>
        <v>120415</v>
      </c>
      <c r="G133" s="1">
        <f>SUM(OSRRefD21_1x_3)</f>
        <v>117475.85999999999</v>
      </c>
      <c r="H133" s="1">
        <f>SUM(OSRRefD21_1x_4)</f>
        <v>92205.430000000008</v>
      </c>
      <c r="I133" s="1">
        <f>SUM(OSRRefD21_1x_5)</f>
        <v>119812.64000000001</v>
      </c>
      <c r="J133" s="1">
        <f>SUM(OSRRefD21_1x_6)</f>
        <v>164815.32</v>
      </c>
      <c r="K133" s="1">
        <f>SUM(OSRRefD21_1x_7)</f>
        <v>111617.56</v>
      </c>
      <c r="L133" s="1">
        <f>SUM(OSRRefD21_1x_8)</f>
        <v>116406.42</v>
      </c>
      <c r="M133" s="1">
        <f>SUM(OSRRefD21_1x_9)</f>
        <v>125797.98</v>
      </c>
      <c r="N133" s="1">
        <f>SUM(OSRRefE21_1x_0)</f>
        <v>135496.91017446161</v>
      </c>
      <c r="O133" s="1">
        <f>SUM(OSRRefE21_1x_1)</f>
        <v>124318.7989244616</v>
      </c>
      <c r="Q133" s="2">
        <f>SUM(OSRRefD20_1x)+IFERROR(SUM(OSRRefE20_1x),0)</f>
        <v>1508675.4890989233</v>
      </c>
    </row>
    <row r="134" spans="1:17" s="34" customFormat="1" hidden="1" outlineLevel="1" x14ac:dyDescent="0.25">
      <c r="A134" s="35"/>
      <c r="B134" s="10" t="str">
        <f>CONCATENATE("          ","6001", " - ","ADMINISTRATIVE SALARIES")</f>
        <v xml:space="preserve">          6001 - ADMINISTRATIVE SALARIES</v>
      </c>
      <c r="C134" s="11"/>
      <c r="D134" s="2">
        <v>4525.8500000000004</v>
      </c>
      <c r="E134" s="2">
        <v>4205.74</v>
      </c>
      <c r="F134" s="2">
        <v>4205.74</v>
      </c>
      <c r="G134" s="2">
        <v>4205.17</v>
      </c>
      <c r="H134" s="2">
        <v>3995.45</v>
      </c>
      <c r="I134" s="2">
        <v>3745.16</v>
      </c>
      <c r="J134" s="2">
        <v>5332.74</v>
      </c>
      <c r="K134" s="2">
        <v>4280.74</v>
      </c>
      <c r="L134" s="2">
        <v>4279.74</v>
      </c>
      <c r="M134" s="2">
        <v>4416.46</v>
      </c>
      <c r="N134" s="2">
        <v>3807.6923076923099</v>
      </c>
      <c r="O134" s="2">
        <v>3807.6923076923099</v>
      </c>
      <c r="P134" s="9"/>
      <c r="Q134" s="2">
        <f>SUM(OSRRefD21_1_0x)+IFERROR(SUM(OSRRefE21_1_0x),0)</f>
        <v>50808.174615384611</v>
      </c>
    </row>
    <row r="135" spans="1:17" s="34" customFormat="1" hidden="1" outlineLevel="1" x14ac:dyDescent="0.25">
      <c r="A135" s="35"/>
      <c r="B135" s="10" t="str">
        <f>CONCATENATE("          ","6002", " - ","STAFF SALARIES")</f>
        <v xml:space="preserve">          6002 - STAFF SALARIES</v>
      </c>
      <c r="C135" s="11"/>
      <c r="D135" s="2">
        <v>64436.4</v>
      </c>
      <c r="E135" s="2">
        <v>54058.76</v>
      </c>
      <c r="F135" s="2">
        <v>53438.720000000001</v>
      </c>
      <c r="G135" s="2">
        <v>55040.29</v>
      </c>
      <c r="H135" s="2">
        <v>47983.77</v>
      </c>
      <c r="I135" s="2">
        <v>60554.25</v>
      </c>
      <c r="J135" s="2">
        <v>79241.259999999995</v>
      </c>
      <c r="K135" s="2">
        <v>60271.59</v>
      </c>
      <c r="L135" s="2">
        <v>59850.43</v>
      </c>
      <c r="M135" s="2">
        <v>68299.41</v>
      </c>
      <c r="N135" s="2">
        <v>57738.095286769298</v>
      </c>
      <c r="O135" s="2">
        <v>57738.095286769298</v>
      </c>
      <c r="P135" s="9"/>
      <c r="Q135" s="2">
        <f>SUM(OSRRefD21_1_1x)+IFERROR(SUM(OSRRefE21_1_1x),0)</f>
        <v>718651.07057353877</v>
      </c>
    </row>
    <row r="136" spans="1:17" s="34" customFormat="1" hidden="1" outlineLevel="1" x14ac:dyDescent="0.25">
      <c r="A136" s="35"/>
      <c r="B136" s="10" t="str">
        <f>CONCATENATE("          ","6003", " - ","STAFF HOURLY-9 MONTH")</f>
        <v xml:space="preserve">          6003 - STAFF HOURLY-9 MONTH</v>
      </c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>
        <v>0</v>
      </c>
      <c r="O136" s="2">
        <v>0</v>
      </c>
      <c r="P136" s="9"/>
      <c r="Q136" s="2">
        <f>SUM(OSRRefD21_1_2x)+IFERROR(SUM(OSRRefE21_1_2x),0)</f>
        <v>0</v>
      </c>
    </row>
    <row r="137" spans="1:17" s="34" customFormat="1" hidden="1" outlineLevel="1" x14ac:dyDescent="0.25">
      <c r="A137" s="35"/>
      <c r="B137" s="10" t="str">
        <f>CONCATENATE("          ","6004", " - ","STAFF HOURLY")</f>
        <v xml:space="preserve">          6004 - STAFF HOURLY</v>
      </c>
      <c r="C137" s="11"/>
      <c r="D137" s="2">
        <v>15713.52</v>
      </c>
      <c r="E137" s="2">
        <v>13876.36</v>
      </c>
      <c r="F137" s="2">
        <v>15888.17</v>
      </c>
      <c r="G137" s="2">
        <v>18098.75</v>
      </c>
      <c r="H137" s="2">
        <v>11939.34</v>
      </c>
      <c r="I137" s="2">
        <v>15520.77</v>
      </c>
      <c r="J137" s="2">
        <v>18984.73</v>
      </c>
      <c r="K137" s="2">
        <v>15570.79</v>
      </c>
      <c r="L137" s="2">
        <v>11915.7</v>
      </c>
      <c r="M137" s="2">
        <v>17783.84</v>
      </c>
      <c r="N137" s="2">
        <v>24764.870080000001</v>
      </c>
      <c r="O137" s="2">
        <v>24764.870080000001</v>
      </c>
      <c r="P137" s="9"/>
      <c r="Q137" s="2">
        <f>SUM(OSRRefD21_1_3x)+IFERROR(SUM(OSRRefE21_1_3x),0)</f>
        <v>204821.71016000002</v>
      </c>
    </row>
    <row r="138" spans="1:17" s="34" customFormat="1" hidden="1" outlineLevel="1" x14ac:dyDescent="0.25">
      <c r="A138" s="35"/>
      <c r="B138" s="10" t="str">
        <f>CONCATENATE("          ","6005", " - ","TEMPORARY WAGES-HOURLY")</f>
        <v xml:space="preserve">          6005 - TEMPORARY WAGES-HOURLY</v>
      </c>
      <c r="C138" s="11"/>
      <c r="D138" s="2">
        <v>12385.55</v>
      </c>
      <c r="E138" s="2">
        <v>22505.49</v>
      </c>
      <c r="F138" s="2">
        <v>25841.46</v>
      </c>
      <c r="G138" s="2">
        <v>19636.400000000001</v>
      </c>
      <c r="H138" s="2">
        <v>7697.23</v>
      </c>
      <c r="I138" s="2">
        <v>9577.32</v>
      </c>
      <c r="J138" s="2">
        <v>12550.77</v>
      </c>
      <c r="K138" s="2">
        <v>12213.85</v>
      </c>
      <c r="L138" s="2">
        <v>13818.91</v>
      </c>
      <c r="M138" s="2">
        <v>16005.07</v>
      </c>
      <c r="N138" s="2">
        <v>1926.6</v>
      </c>
      <c r="O138" s="2">
        <v>1971.06</v>
      </c>
      <c r="P138" s="9"/>
      <c r="Q138" s="2">
        <f>SUM(OSRRefD21_1_4x)+IFERROR(SUM(OSRRefE21_1_4x),0)</f>
        <v>156129.71</v>
      </c>
    </row>
    <row r="139" spans="1:17" s="34" customFormat="1" hidden="1" outlineLevel="1" x14ac:dyDescent="0.25">
      <c r="A139" s="35"/>
      <c r="B139" s="10" t="str">
        <f>CONCATENATE("          ","6006", " - ","TEMPORARY PART TIME")</f>
        <v xml:space="preserve">          6006 - TEMPORARY PART TIME</v>
      </c>
      <c r="C139" s="11"/>
      <c r="D139" s="2">
        <v>2048.21</v>
      </c>
      <c r="E139" s="2">
        <v>1927.34</v>
      </c>
      <c r="F139" s="2">
        <v>1728.86</v>
      </c>
      <c r="G139" s="2">
        <v>1802.76</v>
      </c>
      <c r="H139" s="2">
        <v>1048.44</v>
      </c>
      <c r="I139" s="2">
        <v>1432.35</v>
      </c>
      <c r="J139" s="2"/>
      <c r="K139" s="2">
        <v>2042.44</v>
      </c>
      <c r="L139" s="2">
        <v>2022.89</v>
      </c>
      <c r="M139" s="2">
        <v>2893.47</v>
      </c>
      <c r="N139" s="2">
        <v>0</v>
      </c>
      <c r="O139" s="2">
        <v>0</v>
      </c>
      <c r="P139" s="9"/>
      <c r="Q139" s="2">
        <f>SUM(OSRRefD21_1_5x)+IFERROR(SUM(OSRRefE21_1_5x),0)</f>
        <v>16946.760000000002</v>
      </c>
    </row>
    <row r="140" spans="1:17" s="34" customFormat="1" hidden="1" outlineLevel="1" x14ac:dyDescent="0.25">
      <c r="A140" s="35"/>
      <c r="B140" s="10" t="str">
        <f>CONCATENATE("          ","6007", " - ","STUDENT HOURLY")</f>
        <v xml:space="preserve">          6007 - STUDENT HOURLY</v>
      </c>
      <c r="C140" s="11"/>
      <c r="D140" s="2">
        <v>21368.03</v>
      </c>
      <c r="E140" s="2">
        <v>62829.29</v>
      </c>
      <c r="F140" s="2">
        <v>18256.38</v>
      </c>
      <c r="G140" s="2">
        <v>17216.47</v>
      </c>
      <c r="H140" s="2">
        <v>18658.63</v>
      </c>
      <c r="I140" s="2">
        <v>27899.63</v>
      </c>
      <c r="J140" s="2">
        <v>47460.94</v>
      </c>
      <c r="K140" s="2">
        <v>16114.23</v>
      </c>
      <c r="L140" s="2">
        <v>23406.38</v>
      </c>
      <c r="M140" s="2">
        <v>14809.4</v>
      </c>
      <c r="N140" s="2">
        <v>711.5625</v>
      </c>
      <c r="O140" s="2">
        <v>36037.081250000003</v>
      </c>
      <c r="P140" s="9"/>
      <c r="Q140" s="2">
        <f>SUM(OSRRefD21_1_6x)+IFERROR(SUM(OSRRefE21_1_6x),0)</f>
        <v>304768.02375000005</v>
      </c>
    </row>
    <row r="141" spans="1:17" s="34" customFormat="1" hidden="1" outlineLevel="1" x14ac:dyDescent="0.25">
      <c r="A141" s="35"/>
      <c r="B141" s="10" t="str">
        <f>CONCATENATE("          ","6008", " - ","STUDENT HOURLY-FICA EXEMPT")</f>
        <v xml:space="preserve">          6008 - STUDENT HOURLY-FICA EXEMPT</v>
      </c>
      <c r="C141" s="11"/>
      <c r="D141" s="2"/>
      <c r="E141" s="2">
        <v>433.03</v>
      </c>
      <c r="F141" s="2">
        <v>1055.67</v>
      </c>
      <c r="G141" s="2">
        <v>1476.02</v>
      </c>
      <c r="H141" s="2">
        <v>882.57</v>
      </c>
      <c r="I141" s="2">
        <v>1083.1600000000001</v>
      </c>
      <c r="J141" s="2">
        <v>1244.8800000000001</v>
      </c>
      <c r="K141" s="2">
        <v>1123.92</v>
      </c>
      <c r="L141" s="2">
        <v>1112.3699999999999</v>
      </c>
      <c r="M141" s="2">
        <v>1590.33</v>
      </c>
      <c r="N141" s="2">
        <v>46548.09</v>
      </c>
      <c r="O141" s="2">
        <v>0</v>
      </c>
      <c r="P141" s="9"/>
      <c r="Q141" s="2">
        <f>SUM(OSRRefD21_1_7x)+IFERROR(SUM(OSRRefE21_1_7x),0)</f>
        <v>56550.039999999994</v>
      </c>
    </row>
    <row r="142" spans="1:17" s="34" customFormat="1" hidden="1" outlineLevel="1" x14ac:dyDescent="0.25">
      <c r="A142" s="35"/>
      <c r="B142" s="10" t="str">
        <f>CONCATENATE("          ","6009", " - ","TEMPORARY-SEASONAL")</f>
        <v xml:space="preserve">          6009 - TEMPORARY-SEASONAL</v>
      </c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>
        <v>0</v>
      </c>
      <c r="O142" s="2">
        <v>0</v>
      </c>
      <c r="P142" s="9"/>
      <c r="Q142" s="2">
        <f>SUM(OSRRefD21_1_8x)+IFERROR(SUM(OSRRefE21_1_8x),0)</f>
        <v>0</v>
      </c>
    </row>
    <row r="143" spans="1:17" s="34" customFormat="1" hidden="1" outlineLevel="1" x14ac:dyDescent="0.25">
      <c r="A143" s="35"/>
      <c r="B143" s="10" t="str">
        <f>CONCATENATE("          ","6010", " - ","GRATUITY")</f>
        <v xml:space="preserve">          6010 - GRATUITY</v>
      </c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>
        <v>0</v>
      </c>
      <c r="O143" s="2">
        <v>0</v>
      </c>
      <c r="P143" s="9"/>
      <c r="Q143" s="2">
        <f>SUM(OSRRefD21_1_9x)+IFERROR(SUM(OSRRefE21_1_9x),0)</f>
        <v>0</v>
      </c>
    </row>
    <row r="144" spans="1:17" s="34" customFormat="1" collapsed="1" x14ac:dyDescent="0.25">
      <c r="A144" s="35"/>
      <c r="B144" s="11" t="str">
        <f>CONCATENATE("     ","Advertising/Promo                                 ")</f>
        <v xml:space="preserve">     Advertising/Promo                                 </v>
      </c>
      <c r="C144" s="11"/>
      <c r="D144" s="1">
        <f>SUM(OSRRefD21_2x_0)</f>
        <v>2590.83</v>
      </c>
      <c r="E144" s="1">
        <f>SUM(OSRRefD21_2x_1)</f>
        <v>9411.3700000000008</v>
      </c>
      <c r="F144" s="1">
        <f>SUM(OSRRefD21_2x_2)</f>
        <v>391.39</v>
      </c>
      <c r="G144" s="1">
        <f>SUM(OSRRefD21_2x_3)</f>
        <v>1316.16</v>
      </c>
      <c r="H144" s="1">
        <f>SUM(OSRRefD21_2x_4)</f>
        <v>648.78</v>
      </c>
      <c r="I144" s="1">
        <f>SUM(OSRRefD21_2x_5)</f>
        <v>343.98</v>
      </c>
      <c r="J144" s="1">
        <f>SUM(OSRRefD21_2x_6)</f>
        <v>1331.63</v>
      </c>
      <c r="K144" s="1">
        <f>SUM(OSRRefD21_2x_7)</f>
        <v>114.65</v>
      </c>
      <c r="L144" s="1">
        <f>SUM(OSRRefD21_2x_8)</f>
        <v>73.430000000000007</v>
      </c>
      <c r="M144" s="1">
        <f>SUM(OSRRefD21_2x_9)</f>
        <v>1313.83</v>
      </c>
      <c r="N144" s="1">
        <f>SUM(OSRRefE21_2x_0)</f>
        <v>700</v>
      </c>
      <c r="O144" s="1">
        <f>SUM(OSRRefE21_2x_1)</f>
        <v>250</v>
      </c>
      <c r="Q144" s="2">
        <f>SUM(OSRRefD20_2x)+IFERROR(SUM(OSRRefE20_2x),0)</f>
        <v>18486.05</v>
      </c>
    </row>
    <row r="145" spans="1:17" s="34" customFormat="1" hidden="1" outlineLevel="1" x14ac:dyDescent="0.25">
      <c r="A145" s="35"/>
      <c r="B145" s="10" t="str">
        <f>CONCATENATE("          ","6362", " - ","ADVERTISING EXPENSE")</f>
        <v xml:space="preserve">          6362 - ADVERTISING EXPENSE</v>
      </c>
      <c r="C145" s="11"/>
      <c r="D145" s="2">
        <v>2590.83</v>
      </c>
      <c r="E145" s="2">
        <v>9411.3700000000008</v>
      </c>
      <c r="F145" s="2">
        <v>391.39</v>
      </c>
      <c r="G145" s="2">
        <v>1316.16</v>
      </c>
      <c r="H145" s="2">
        <v>648.78</v>
      </c>
      <c r="I145" s="2">
        <v>343.98</v>
      </c>
      <c r="J145" s="2">
        <v>1331.63</v>
      </c>
      <c r="K145" s="2">
        <v>114.65</v>
      </c>
      <c r="L145" s="2">
        <v>73.430000000000007</v>
      </c>
      <c r="M145" s="2">
        <v>1313.83</v>
      </c>
      <c r="N145" s="2">
        <v>700</v>
      </c>
      <c r="O145" s="2">
        <v>250</v>
      </c>
      <c r="P145" s="9"/>
      <c r="Q145" s="2">
        <f>SUM(OSRRefD21_2_0x)+IFERROR(SUM(OSRRefE21_2_0x),0)</f>
        <v>18486.05</v>
      </c>
    </row>
    <row r="146" spans="1:17" s="34" customFormat="1" collapsed="1" x14ac:dyDescent="0.25">
      <c r="A146" s="35"/>
      <c r="B146" s="11" t="str">
        <f>CONCATENATE("     ","Bad Debts/Over/Short                              ")</f>
        <v xml:space="preserve">     Bad Debts/Over/Short                              </v>
      </c>
      <c r="C146" s="11"/>
      <c r="D146" s="1">
        <f>SUM(OSRRefD21_3x_0)</f>
        <v>4.9800000000000004</v>
      </c>
      <c r="E146" s="1">
        <f>SUM(OSRRefD21_3x_1)</f>
        <v>66.81</v>
      </c>
      <c r="F146" s="1">
        <f>SUM(OSRRefD21_3x_2)</f>
        <v>8.2200000000000006</v>
      </c>
      <c r="G146" s="1">
        <f>SUM(OSRRefD21_3x_3)</f>
        <v>-29.45</v>
      </c>
      <c r="H146" s="1">
        <f>SUM(OSRRefD21_3x_4)</f>
        <v>0.74</v>
      </c>
      <c r="I146" s="1">
        <f>SUM(OSRRefD21_3x_5)</f>
        <v>-5.34</v>
      </c>
      <c r="J146" s="1">
        <f>SUM(OSRRefD21_3x_6)</f>
        <v>1872.1</v>
      </c>
      <c r="K146" s="1">
        <f>SUM(OSRRefD21_3x_7)</f>
        <v>3282.4</v>
      </c>
      <c r="L146" s="1">
        <f>SUM(OSRRefD21_3x_8)</f>
        <v>-16.510000000000002</v>
      </c>
      <c r="M146" s="1">
        <f>SUM(OSRRefD21_3x_9)</f>
        <v>-1.25</v>
      </c>
      <c r="N146" s="1">
        <f>SUM(OSRRefE21_3x_0)</f>
        <v>90</v>
      </c>
      <c r="O146" s="1">
        <f>SUM(OSRRefE21_3x_1)</f>
        <v>90</v>
      </c>
      <c r="Q146" s="2">
        <f>SUM(OSRRefD20_3x)+IFERROR(SUM(OSRRefE20_3x),0)</f>
        <v>5362.7</v>
      </c>
    </row>
    <row r="147" spans="1:17" s="34" customFormat="1" hidden="1" outlineLevel="1" x14ac:dyDescent="0.25">
      <c r="A147" s="35"/>
      <c r="B147" s="10" t="str">
        <f>CONCATENATE("          ","6272", " - ","CASH (OVER/SHORT)")</f>
        <v xml:space="preserve">          6272 - CASH (OVER/SHORT)</v>
      </c>
      <c r="C147" s="11"/>
      <c r="D147" s="2">
        <v>4.9800000000000004</v>
      </c>
      <c r="E147" s="2">
        <v>66.81</v>
      </c>
      <c r="F147" s="2">
        <v>8.2200000000000006</v>
      </c>
      <c r="G147" s="2">
        <v>-29.45</v>
      </c>
      <c r="H147" s="2">
        <v>0.74</v>
      </c>
      <c r="I147" s="2">
        <v>-5.34</v>
      </c>
      <c r="J147" s="2">
        <v>-124.68</v>
      </c>
      <c r="K147" s="2">
        <v>-70.239999999999995</v>
      </c>
      <c r="L147" s="2">
        <v>-16.510000000000002</v>
      </c>
      <c r="M147" s="2">
        <v>-1.25</v>
      </c>
      <c r="N147" s="2">
        <v>60</v>
      </c>
      <c r="O147" s="2">
        <v>60</v>
      </c>
      <c r="P147" s="9"/>
      <c r="Q147" s="2">
        <f>SUM(OSRRefD21_3_0x)+IFERROR(SUM(OSRRefE21_3_0x),0)</f>
        <v>-46.71999999999997</v>
      </c>
    </row>
    <row r="148" spans="1:17" s="34" customFormat="1" hidden="1" outlineLevel="1" x14ac:dyDescent="0.25">
      <c r="A148" s="35"/>
      <c r="B148" s="10" t="str">
        <f>CONCATENATE("          ","6342", " - ","BAD DEBT")</f>
        <v xml:space="preserve">          6342 - BAD DEBT</v>
      </c>
      <c r="C148" s="11"/>
      <c r="D148" s="2"/>
      <c r="E148" s="2"/>
      <c r="F148" s="2"/>
      <c r="G148" s="2"/>
      <c r="H148" s="2"/>
      <c r="I148" s="2"/>
      <c r="J148" s="2">
        <v>1996.78</v>
      </c>
      <c r="K148" s="2">
        <v>3352.64</v>
      </c>
      <c r="L148" s="2"/>
      <c r="M148" s="2"/>
      <c r="N148" s="2">
        <v>30</v>
      </c>
      <c r="O148" s="2">
        <v>30</v>
      </c>
      <c r="P148" s="9"/>
      <c r="Q148" s="2">
        <f>SUM(OSRRefD21_3_1x)+IFERROR(SUM(OSRRefE21_3_1x),0)</f>
        <v>5409.42</v>
      </c>
    </row>
    <row r="149" spans="1:17" s="34" customFormat="1" collapsed="1" x14ac:dyDescent="0.25">
      <c r="A149" s="35"/>
      <c r="B149" s="11" t="str">
        <f>CONCATENATE("     ","Bank/card Fees                                    ")</f>
        <v xml:space="preserve">     Bank/card Fees                                    </v>
      </c>
      <c r="C149" s="11"/>
      <c r="D149" s="1">
        <f>SUM(OSRRefD21_4x_0)</f>
        <v>3117.21</v>
      </c>
      <c r="E149" s="1">
        <f>SUM(OSRRefD21_4x_1)</f>
        <v>22080.34</v>
      </c>
      <c r="F149" s="1">
        <f>SUM(OSRRefD21_4x_2)</f>
        <v>9050.2199999999993</v>
      </c>
      <c r="G149" s="1">
        <f>SUM(OSRRefD21_4x_3)</f>
        <v>4891.9799999999996</v>
      </c>
      <c r="H149" s="1">
        <f>SUM(OSRRefD21_4x_4)</f>
        <v>2442.63</v>
      </c>
      <c r="I149" s="1">
        <f>SUM(OSRRefD21_4x_5)</f>
        <v>5214.3999999999996</v>
      </c>
      <c r="J149" s="1">
        <f>SUM(OSRRefD21_4x_6)</f>
        <v>14947.88</v>
      </c>
      <c r="K149" s="1">
        <f>SUM(OSRRefD21_4x_7)</f>
        <v>3756.42</v>
      </c>
      <c r="L149" s="1">
        <f>SUM(OSRRefD21_4x_8)</f>
        <v>3823.93</v>
      </c>
      <c r="M149" s="1">
        <f>SUM(OSRRefD21_4x_9)</f>
        <v>5310.85</v>
      </c>
      <c r="N149" s="1">
        <f>SUM(OSRRefE21_4x_0)</f>
        <v>4500</v>
      </c>
      <c r="O149" s="1">
        <f>SUM(OSRRefE21_4x_1)</f>
        <v>900</v>
      </c>
      <c r="Q149" s="2">
        <f>SUM(OSRRefD20_4x)+IFERROR(SUM(OSRRefE20_4x),0)</f>
        <v>80035.86</v>
      </c>
    </row>
    <row r="150" spans="1:17" s="34" customFormat="1" hidden="1" outlineLevel="1" x14ac:dyDescent="0.25">
      <c r="A150" s="35"/>
      <c r="B150" s="10" t="str">
        <f>CONCATENATE("          ","6381", " - ","BANK/CREDIT CARD FEES")</f>
        <v xml:space="preserve">          6381 - BANK/CREDIT CARD FEES</v>
      </c>
      <c r="C150" s="11"/>
      <c r="D150" s="2">
        <v>3117.21</v>
      </c>
      <c r="E150" s="2">
        <v>22080.34</v>
      </c>
      <c r="F150" s="2">
        <v>9050.2199999999993</v>
      </c>
      <c r="G150" s="2">
        <v>4891.9799999999996</v>
      </c>
      <c r="H150" s="2">
        <v>2442.63</v>
      </c>
      <c r="I150" s="2">
        <v>5214.3999999999996</v>
      </c>
      <c r="J150" s="2">
        <v>14947.88</v>
      </c>
      <c r="K150" s="2">
        <v>3756.42</v>
      </c>
      <c r="L150" s="2">
        <v>3823.93</v>
      </c>
      <c r="M150" s="2">
        <v>5310.85</v>
      </c>
      <c r="N150" s="2">
        <v>4500</v>
      </c>
      <c r="O150" s="2">
        <v>900</v>
      </c>
      <c r="P150" s="9"/>
      <c r="Q150" s="2">
        <f>SUM(OSRRefD21_4_0x)+IFERROR(SUM(OSRRefE21_4_0x),0)</f>
        <v>80035.86</v>
      </c>
    </row>
    <row r="151" spans="1:17" s="34" customFormat="1" collapsed="1" x14ac:dyDescent="0.25">
      <c r="A151" s="35"/>
      <c r="B151" s="11" t="str">
        <f>CONCATENATE("     ","Depreciation                                      ")</f>
        <v xml:space="preserve">     Depreciation                                      </v>
      </c>
      <c r="C151" s="11"/>
      <c r="D151" s="1">
        <f>SUM(OSRRefD21_5x_0)</f>
        <v>30346.86</v>
      </c>
      <c r="E151" s="1">
        <f>SUM(OSRRefD21_5x_1)</f>
        <v>31089.33</v>
      </c>
      <c r="F151" s="1">
        <f>SUM(OSRRefD21_5x_2)</f>
        <v>31066.84</v>
      </c>
      <c r="G151" s="1">
        <f>SUM(OSRRefD21_5x_3)</f>
        <v>30735.86</v>
      </c>
      <c r="H151" s="1">
        <f>SUM(OSRRefD21_5x_4)</f>
        <v>30735.85</v>
      </c>
      <c r="I151" s="1">
        <f>SUM(OSRRefD21_5x_5)</f>
        <v>30735.85</v>
      </c>
      <c r="J151" s="1">
        <f>SUM(OSRRefD21_5x_6)</f>
        <v>30735.85</v>
      </c>
      <c r="K151" s="1">
        <f>SUM(OSRRefD21_5x_7)</f>
        <v>30735.85</v>
      </c>
      <c r="L151" s="1">
        <f>SUM(OSRRefD21_5x_8)</f>
        <v>30735.85</v>
      </c>
      <c r="M151" s="1">
        <f>SUM(OSRRefD21_5x_9)</f>
        <v>30735.85</v>
      </c>
      <c r="N151" s="1">
        <f>SUM(OSRRefE21_5x_0)</f>
        <v>30294</v>
      </c>
      <c r="O151" s="1">
        <f>SUM(OSRRefE21_5x_1)</f>
        <v>29877</v>
      </c>
      <c r="Q151" s="2">
        <f>SUM(OSRRefD20_5x)+IFERROR(SUM(OSRRefE20_5x),0)</f>
        <v>367824.99</v>
      </c>
    </row>
    <row r="152" spans="1:17" s="34" customFormat="1" hidden="1" outlineLevel="1" x14ac:dyDescent="0.25">
      <c r="A152" s="35"/>
      <c r="B152" s="10" t="str">
        <f>CONCATENATE("          ","6321", " - ","BUILDING DEPRECIATION")</f>
        <v xml:space="preserve">          6321 - BUILDING DEPRECIATION</v>
      </c>
      <c r="C152" s="11"/>
      <c r="D152" s="2">
        <v>16396.52</v>
      </c>
      <c r="E152" s="2">
        <v>16396.52</v>
      </c>
      <c r="F152" s="2">
        <v>16396.52</v>
      </c>
      <c r="G152" s="2">
        <v>16396.52</v>
      </c>
      <c r="H152" s="2">
        <v>16396.52</v>
      </c>
      <c r="I152" s="2">
        <v>16396.52</v>
      </c>
      <c r="J152" s="2">
        <v>16396.52</v>
      </c>
      <c r="K152" s="2">
        <v>16396.52</v>
      </c>
      <c r="L152" s="2">
        <v>16396.52</v>
      </c>
      <c r="M152" s="2">
        <v>16396.52</v>
      </c>
      <c r="N152" s="2"/>
      <c r="O152" s="2"/>
      <c r="P152" s="9"/>
      <c r="Q152" s="2">
        <f>SUM(OSRRefD21_5_0x)+IFERROR(SUM(OSRRefE21_5_0x),0)</f>
        <v>163965.19999999998</v>
      </c>
    </row>
    <row r="153" spans="1:17" s="34" customFormat="1" hidden="1" outlineLevel="1" x14ac:dyDescent="0.25">
      <c r="A153" s="35"/>
      <c r="B153" s="10" t="str">
        <f>CONCATENATE("          ","6322", " - ","EQUIPMENT DEPRECIATION EXPENSE")</f>
        <v xml:space="preserve">          6322 - EQUIPMENT DEPRECIATION EXPENSE</v>
      </c>
      <c r="C153" s="11"/>
      <c r="D153" s="2">
        <v>13950.34</v>
      </c>
      <c r="E153" s="2">
        <v>14692.81</v>
      </c>
      <c r="F153" s="2">
        <v>14670.32</v>
      </c>
      <c r="G153" s="2">
        <v>14339.34</v>
      </c>
      <c r="H153" s="2">
        <v>14339.33</v>
      </c>
      <c r="I153" s="2">
        <v>14339.33</v>
      </c>
      <c r="J153" s="2">
        <v>14339.33</v>
      </c>
      <c r="K153" s="2">
        <v>14339.33</v>
      </c>
      <c r="L153" s="2">
        <v>14339.33</v>
      </c>
      <c r="M153" s="2">
        <v>14339.33</v>
      </c>
      <c r="N153" s="2">
        <v>30294</v>
      </c>
      <c r="O153" s="2">
        <v>29877</v>
      </c>
      <c r="P153" s="9"/>
      <c r="Q153" s="2">
        <f>SUM(OSRRefD21_5_1x)+IFERROR(SUM(OSRRefE21_5_1x),0)</f>
        <v>203859.79</v>
      </c>
    </row>
    <row r="154" spans="1:17" s="34" customFormat="1" collapsed="1" x14ac:dyDescent="0.25">
      <c r="A154" s="35"/>
      <c r="B154" s="11" t="str">
        <f>CONCATENATE("     ","Discounts and Markdowns                           ")</f>
        <v xml:space="preserve">     Discounts and Markdowns                           </v>
      </c>
      <c r="C154" s="11"/>
      <c r="D154" s="1">
        <f>SUM(OSRRefD21_6x_0)</f>
        <v>0</v>
      </c>
      <c r="E154" s="1">
        <f>SUM(OSRRefD21_6x_1)</f>
        <v>0</v>
      </c>
      <c r="F154" s="1">
        <f>SUM(OSRRefD21_6x_2)</f>
        <v>830.95</v>
      </c>
      <c r="G154" s="1">
        <f>SUM(OSRRefD21_6x_3)</f>
        <v>-1249.8000000000002</v>
      </c>
      <c r="H154" s="1">
        <f>SUM(OSRRefD21_6x_4)</f>
        <v>418.85</v>
      </c>
      <c r="I154" s="1">
        <f>SUM(OSRRefD21_6x_5)</f>
        <v>0</v>
      </c>
      <c r="J154" s="1">
        <f>SUM(OSRRefD21_6x_6)</f>
        <v>-42.86</v>
      </c>
      <c r="K154" s="1">
        <f>SUM(OSRRefD21_6x_7)</f>
        <v>42.86</v>
      </c>
      <c r="L154" s="1">
        <f>SUM(OSRRefD21_6x_8)</f>
        <v>0</v>
      </c>
      <c r="M154" s="1">
        <f>SUM(OSRRefD21_6x_9)</f>
        <v>-15.43</v>
      </c>
      <c r="N154" s="1">
        <f>SUM(OSRRefE21_6x_0)</f>
        <v>1250</v>
      </c>
      <c r="O154" s="1">
        <f>SUM(OSRRefE21_6x_1)</f>
        <v>1250</v>
      </c>
      <c r="Q154" s="2">
        <f>SUM(OSRRefD20_6x)+IFERROR(SUM(OSRRefE20_6x),0)</f>
        <v>2484.5699999999997</v>
      </c>
    </row>
    <row r="155" spans="1:17" s="34" customFormat="1" hidden="1" outlineLevel="1" x14ac:dyDescent="0.25">
      <c r="A155" s="35"/>
      <c r="B155" s="10" t="str">
        <f>CONCATENATE("          ","6382", " - ","DISCOUNTS/MARK DOWNS")</f>
        <v xml:space="preserve">          6382 - DISCOUNTS/MARK DOWNS</v>
      </c>
      <c r="C155" s="11"/>
      <c r="D155" s="2">
        <v>0</v>
      </c>
      <c r="E155" s="2">
        <v>0</v>
      </c>
      <c r="F155" s="2">
        <v>830.95</v>
      </c>
      <c r="G155" s="2">
        <v>-830.95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1250</v>
      </c>
      <c r="O155" s="2">
        <v>1250</v>
      </c>
      <c r="P155" s="9"/>
      <c r="Q155" s="2">
        <f>SUM(OSRRefD21_6_0x)+IFERROR(SUM(OSRRefE21_6_0x),0)</f>
        <v>2500</v>
      </c>
    </row>
    <row r="156" spans="1:17" s="34" customFormat="1" hidden="1" outlineLevel="1" x14ac:dyDescent="0.25">
      <c r="A156" s="35"/>
      <c r="B156" s="10" t="str">
        <f>CONCATENATE("          ","9175", " - ","EARNED DISCOUNTS")</f>
        <v xml:space="preserve">          9175 - EARNED DISCOUNTS</v>
      </c>
      <c r="C156" s="11"/>
      <c r="D156" s="2"/>
      <c r="E156" s="2"/>
      <c r="F156" s="2"/>
      <c r="G156" s="2">
        <v>-418.85</v>
      </c>
      <c r="H156" s="2">
        <v>418.85</v>
      </c>
      <c r="I156" s="2"/>
      <c r="J156" s="2">
        <v>-42.86</v>
      </c>
      <c r="K156" s="2">
        <v>42.86</v>
      </c>
      <c r="L156" s="2">
        <v>0</v>
      </c>
      <c r="M156" s="2">
        <v>-15.43</v>
      </c>
      <c r="N156" s="2"/>
      <c r="O156" s="2"/>
      <c r="P156" s="9"/>
      <c r="Q156" s="2">
        <f>SUM(OSRRefD21_6_1x)+IFERROR(SUM(OSRRefE21_6_1x),0)</f>
        <v>-15.43</v>
      </c>
    </row>
    <row r="157" spans="1:17" s="34" customFormat="1" collapsed="1" x14ac:dyDescent="0.25">
      <c r="A157" s="35"/>
      <c r="B157" s="11" t="str">
        <f>CONCATENATE("     ","Donations                                         ")</f>
        <v xml:space="preserve">     Donations                                         </v>
      </c>
      <c r="C157" s="11"/>
      <c r="D157" s="1">
        <f>SUM(OSRRefD21_7x_0)</f>
        <v>0</v>
      </c>
      <c r="E157" s="1">
        <f>SUM(OSRRefD21_7x_1)</f>
        <v>0</v>
      </c>
      <c r="F157" s="1">
        <f>SUM(OSRRefD21_7x_2)</f>
        <v>0</v>
      </c>
      <c r="G157" s="1">
        <f>SUM(OSRRefD21_7x_3)</f>
        <v>0</v>
      </c>
      <c r="H157" s="1">
        <f>SUM(OSRRefD21_7x_4)</f>
        <v>0</v>
      </c>
      <c r="I157" s="1">
        <f>SUM(OSRRefD21_7x_5)</f>
        <v>0</v>
      </c>
      <c r="J157" s="1">
        <f>SUM(OSRRefD21_7x_6)</f>
        <v>0</v>
      </c>
      <c r="K157" s="1">
        <f>SUM(OSRRefD21_7x_7)</f>
        <v>0</v>
      </c>
      <c r="L157" s="1">
        <f>SUM(OSRRefD21_7x_8)</f>
        <v>0</v>
      </c>
      <c r="M157" s="1">
        <f>SUM(OSRRefD21_7x_9)</f>
        <v>360.9</v>
      </c>
      <c r="N157" s="1">
        <f>SUM(OSRRefE21_7x_0)</f>
        <v>0</v>
      </c>
      <c r="O157" s="1">
        <f>SUM(OSRRefE21_7x_1)</f>
        <v>0</v>
      </c>
      <c r="Q157" s="2">
        <f>SUM(OSRRefD20_7x)+IFERROR(SUM(OSRRefE20_7x),0)</f>
        <v>360.9</v>
      </c>
    </row>
    <row r="158" spans="1:17" s="34" customFormat="1" hidden="1" outlineLevel="1" x14ac:dyDescent="0.25">
      <c r="A158" s="35"/>
      <c r="B158" s="10" t="str">
        <f>CONCATENATE("          ","6399", " - ","DONATION-ON CAMPUS")</f>
        <v xml:space="preserve">          6399 - DONATION-ON CAMPUS</v>
      </c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>
        <v>360.9</v>
      </c>
      <c r="N158" s="2">
        <v>0</v>
      </c>
      <c r="O158" s="2">
        <v>0</v>
      </c>
      <c r="P158" s="9"/>
      <c r="Q158" s="2">
        <f>SUM(OSRRefD21_7_0x)+IFERROR(SUM(OSRRefE21_7_0x),0)</f>
        <v>360.9</v>
      </c>
    </row>
    <row r="159" spans="1:17" s="34" customFormat="1" collapsed="1" x14ac:dyDescent="0.25">
      <c r="A159" s="35"/>
      <c r="B159" s="11" t="str">
        <f>CONCATENATE("     ","Employees' Appreciation                           ")</f>
        <v xml:space="preserve">     Employees' Appreciation                           </v>
      </c>
      <c r="C159" s="11"/>
      <c r="D159" s="1">
        <f>SUM(OSRRefD21_8x_0)</f>
        <v>107.7</v>
      </c>
      <c r="E159" s="1">
        <f>SUM(OSRRefD21_8x_1)</f>
        <v>0</v>
      </c>
      <c r="F159" s="1">
        <f>SUM(OSRRefD21_8x_2)</f>
        <v>0</v>
      </c>
      <c r="G159" s="1">
        <f>SUM(OSRRefD21_8x_3)</f>
        <v>0</v>
      </c>
      <c r="H159" s="1">
        <f>SUM(OSRRefD21_8x_4)</f>
        <v>0</v>
      </c>
      <c r="I159" s="1">
        <f>SUM(OSRRefD21_8x_5)</f>
        <v>0</v>
      </c>
      <c r="J159" s="1">
        <f>SUM(OSRRefD21_8x_6)</f>
        <v>78.33</v>
      </c>
      <c r="K159" s="1">
        <f>SUM(OSRRefD21_8x_7)</f>
        <v>0</v>
      </c>
      <c r="L159" s="1">
        <f>SUM(OSRRefD21_8x_8)</f>
        <v>0</v>
      </c>
      <c r="M159" s="1">
        <f>SUM(OSRRefD21_8x_9)</f>
        <v>0</v>
      </c>
      <c r="N159" s="1">
        <f>SUM(OSRRefE21_8x_0)</f>
        <v>250</v>
      </c>
      <c r="O159" s="1">
        <f>SUM(OSRRefE21_8x_1)</f>
        <v>250</v>
      </c>
      <c r="Q159" s="2">
        <f>SUM(OSRRefD20_8x)+IFERROR(SUM(OSRRefE20_8x),0)</f>
        <v>686.03</v>
      </c>
    </row>
    <row r="160" spans="1:17" s="34" customFormat="1" hidden="1" outlineLevel="1" x14ac:dyDescent="0.25">
      <c r="A160" s="35"/>
      <c r="B160" s="10" t="str">
        <f>CONCATENATE("          ","6277", " - ","EMPLOYEE APPRECIATION")</f>
        <v xml:space="preserve">          6277 - EMPLOYEE APPRECIATION</v>
      </c>
      <c r="C160" s="11"/>
      <c r="D160" s="2">
        <v>107.7</v>
      </c>
      <c r="E160" s="2"/>
      <c r="F160" s="2"/>
      <c r="G160" s="2"/>
      <c r="H160" s="2"/>
      <c r="I160" s="2"/>
      <c r="J160" s="2">
        <v>78.33</v>
      </c>
      <c r="K160" s="2">
        <v>0</v>
      </c>
      <c r="L160" s="2"/>
      <c r="M160" s="2"/>
      <c r="N160" s="2">
        <v>250</v>
      </c>
      <c r="O160" s="2">
        <v>250</v>
      </c>
      <c r="P160" s="9"/>
      <c r="Q160" s="2">
        <f>SUM(OSRRefD21_8_0x)+IFERROR(SUM(OSRRefE21_8_0x),0)</f>
        <v>686.03</v>
      </c>
    </row>
    <row r="161" spans="1:17" s="34" customFormat="1" collapsed="1" x14ac:dyDescent="0.25">
      <c r="A161" s="35"/>
      <c r="B161" s="11" t="str">
        <f>CONCATENATE("     ","Equipment Rental                                  ")</f>
        <v xml:space="preserve">     Equipment Rental                                  </v>
      </c>
      <c r="C161" s="11"/>
      <c r="D161" s="1">
        <f>SUM(OSRRefD21_9x_0)</f>
        <v>1388.16</v>
      </c>
      <c r="E161" s="1">
        <f>SUM(OSRRefD21_9x_1)</f>
        <v>1388.16</v>
      </c>
      <c r="F161" s="1">
        <f>SUM(OSRRefD21_9x_2)</f>
        <v>1712.05</v>
      </c>
      <c r="G161" s="1">
        <f>SUM(OSRRefD21_9x_3)</f>
        <v>1479.42</v>
      </c>
      <c r="H161" s="1">
        <f>SUM(OSRRefD21_9x_4)</f>
        <v>1712.05</v>
      </c>
      <c r="I161" s="1">
        <f>SUM(OSRRefD21_9x_5)</f>
        <v>1296.9000000000001</v>
      </c>
      <c r="J161" s="1">
        <f>SUM(OSRRefD21_9x_6)</f>
        <v>1388.16</v>
      </c>
      <c r="K161" s="1">
        <f>SUM(OSRRefD21_9x_7)</f>
        <v>1784.21</v>
      </c>
      <c r="L161" s="1">
        <f>SUM(OSRRefD21_9x_8)</f>
        <v>1296.9000000000001</v>
      </c>
      <c r="M161" s="1">
        <f>SUM(OSRRefD21_9x_9)</f>
        <v>1388.16</v>
      </c>
      <c r="N161" s="1">
        <f>SUM(OSRRefE21_9x_0)</f>
        <v>2006</v>
      </c>
      <c r="O161" s="1">
        <f>SUM(OSRRefE21_9x_1)</f>
        <v>2006</v>
      </c>
      <c r="Q161" s="2">
        <f>SUM(OSRRefD20_9x)+IFERROR(SUM(OSRRefE20_9x),0)</f>
        <v>18846.169999999998</v>
      </c>
    </row>
    <row r="162" spans="1:17" s="34" customFormat="1" hidden="1" outlineLevel="1" x14ac:dyDescent="0.25">
      <c r="A162" s="35"/>
      <c r="B162" s="10" t="str">
        <f>CONCATENATE("          ","6351", " - ","EQUIPMENT RENTAL")</f>
        <v xml:space="preserve">          6351 - EQUIPMENT RENTAL</v>
      </c>
      <c r="C162" s="11"/>
      <c r="D162" s="2">
        <v>1388.16</v>
      </c>
      <c r="E162" s="2">
        <v>1388.16</v>
      </c>
      <c r="F162" s="2">
        <v>1712.05</v>
      </c>
      <c r="G162" s="2">
        <v>1479.42</v>
      </c>
      <c r="H162" s="2">
        <v>1712.05</v>
      </c>
      <c r="I162" s="2">
        <v>1296.9000000000001</v>
      </c>
      <c r="J162" s="2">
        <v>1388.16</v>
      </c>
      <c r="K162" s="2">
        <v>1784.21</v>
      </c>
      <c r="L162" s="2">
        <v>1296.9000000000001</v>
      </c>
      <c r="M162" s="2">
        <v>1388.16</v>
      </c>
      <c r="N162" s="2">
        <v>2006</v>
      </c>
      <c r="O162" s="2">
        <v>2006</v>
      </c>
      <c r="P162" s="9"/>
      <c r="Q162" s="2">
        <f>SUM(OSRRefD21_9_0x)+IFERROR(SUM(OSRRefE21_9_0x),0)</f>
        <v>18846.169999999998</v>
      </c>
    </row>
    <row r="163" spans="1:17" s="34" customFormat="1" collapsed="1" x14ac:dyDescent="0.25">
      <c r="A163" s="35"/>
      <c r="B163" s="11" t="str">
        <f>CONCATENATE("     ","Freight out/Postage                               ")</f>
        <v xml:space="preserve">     Freight out/Postage                               </v>
      </c>
      <c r="C163" s="11"/>
      <c r="D163" s="1">
        <f>SUM(OSRRefD21_10x_0)</f>
        <v>8928.65</v>
      </c>
      <c r="E163" s="1">
        <f>SUM(OSRRefD21_10x_1)</f>
        <v>-83740.51999999999</v>
      </c>
      <c r="F163" s="1">
        <f>SUM(OSRRefD21_10x_2)</f>
        <v>-5939.64</v>
      </c>
      <c r="G163" s="1">
        <f>SUM(OSRRefD21_10x_3)</f>
        <v>48908.160000000003</v>
      </c>
      <c r="H163" s="1">
        <f>SUM(OSRRefD21_10x_4)</f>
        <v>12488.57</v>
      </c>
      <c r="I163" s="1">
        <f>SUM(OSRRefD21_10x_5)</f>
        <v>4305.92</v>
      </c>
      <c r="J163" s="1">
        <f>SUM(OSRRefD21_10x_6)</f>
        <v>-21770.530000000002</v>
      </c>
      <c r="K163" s="1">
        <f>SUM(OSRRefD21_10x_7)</f>
        <v>4165.4900000000016</v>
      </c>
      <c r="L163" s="1">
        <f>SUM(OSRRefD21_10x_8)</f>
        <v>-1852.75</v>
      </c>
      <c r="M163" s="1">
        <f>SUM(OSRRefD21_10x_9)</f>
        <v>-12514.900000000001</v>
      </c>
      <c r="N163" s="1">
        <f>SUM(OSRRefE21_10x_0)</f>
        <v>-1715</v>
      </c>
      <c r="O163" s="1">
        <f>SUM(OSRRefE21_10x_1)</f>
        <v>35</v>
      </c>
      <c r="Q163" s="2">
        <f>SUM(OSRRefD20_10x)+IFERROR(SUM(OSRRefE20_10x),0)</f>
        <v>-48701.549999999996</v>
      </c>
    </row>
    <row r="164" spans="1:17" s="34" customFormat="1" hidden="1" outlineLevel="1" x14ac:dyDescent="0.25">
      <c r="A164" s="35"/>
      <c r="B164" s="10" t="str">
        <f>CONCATENATE("          ","6305", " - ","FREIGHT OUT")</f>
        <v xml:space="preserve">          6305 - FREIGHT OUT</v>
      </c>
      <c r="C164" s="11"/>
      <c r="D164" s="2">
        <v>12089.09</v>
      </c>
      <c r="E164" s="2">
        <v>8240.52</v>
      </c>
      <c r="F164" s="2">
        <v>5328.45</v>
      </c>
      <c r="G164" s="2">
        <v>60594.68</v>
      </c>
      <c r="H164" s="2">
        <v>16808.28</v>
      </c>
      <c r="I164" s="2">
        <v>13712.49</v>
      </c>
      <c r="J164" s="2">
        <v>18715.689999999999</v>
      </c>
      <c r="K164" s="2">
        <v>26178.02</v>
      </c>
      <c r="L164" s="2">
        <v>17566.57</v>
      </c>
      <c r="M164" s="2">
        <v>22667.040000000001</v>
      </c>
      <c r="N164" s="2">
        <v>3250</v>
      </c>
      <c r="O164" s="2">
        <v>2000</v>
      </c>
      <c r="P164" s="9"/>
      <c r="Q164" s="2">
        <f>SUM(OSRRefD21_10_0x)+IFERROR(SUM(OSRRefE21_10_0x),0)</f>
        <v>207150.83000000002</v>
      </c>
    </row>
    <row r="165" spans="1:17" s="34" customFormat="1" hidden="1" outlineLevel="1" x14ac:dyDescent="0.25">
      <c r="A165" s="35"/>
      <c r="B165" s="10" t="str">
        <f>CONCATENATE("          ","6307", " - ","POSTAGE")</f>
        <v xml:space="preserve">          6307 - POSTAGE</v>
      </c>
      <c r="C165" s="11"/>
      <c r="D165" s="2">
        <v>-3160.44</v>
      </c>
      <c r="E165" s="2">
        <v>-91981.04</v>
      </c>
      <c r="F165" s="2">
        <v>-11268.09</v>
      </c>
      <c r="G165" s="2">
        <v>-11686.52</v>
      </c>
      <c r="H165" s="2">
        <v>-4319.71</v>
      </c>
      <c r="I165" s="2">
        <v>-9406.57</v>
      </c>
      <c r="J165" s="2">
        <v>-40486.22</v>
      </c>
      <c r="K165" s="2">
        <v>-22012.53</v>
      </c>
      <c r="L165" s="2">
        <v>-19419.32</v>
      </c>
      <c r="M165" s="2">
        <v>-35181.94</v>
      </c>
      <c r="N165" s="2">
        <v>-4965</v>
      </c>
      <c r="O165" s="2">
        <v>-1965</v>
      </c>
      <c r="P165" s="9"/>
      <c r="Q165" s="2">
        <f>SUM(OSRRefD21_10_1x)+IFERROR(SUM(OSRRefE21_10_1x),0)</f>
        <v>-255852.38</v>
      </c>
    </row>
    <row r="166" spans="1:17" s="34" customFormat="1" collapsed="1" x14ac:dyDescent="0.25">
      <c r="A166" s="35"/>
      <c r="B166" s="11" t="str">
        <f>CONCATENATE("     ","General                                           ")</f>
        <v xml:space="preserve">     General                                           </v>
      </c>
      <c r="C166" s="11"/>
      <c r="D166" s="1">
        <f>SUM(OSRRefD21_11x_0)</f>
        <v>-3320.09</v>
      </c>
      <c r="E166" s="1">
        <f>SUM(OSRRefD21_11x_1)</f>
        <v>113.26</v>
      </c>
      <c r="F166" s="1">
        <f>SUM(OSRRefD21_11x_2)</f>
        <v>0</v>
      </c>
      <c r="G166" s="1">
        <f>SUM(OSRRefD21_11x_3)</f>
        <v>-40</v>
      </c>
      <c r="H166" s="1">
        <f>SUM(OSRRefD21_11x_4)</f>
        <v>3792.73</v>
      </c>
      <c r="I166" s="1">
        <f>SUM(OSRRefD21_11x_5)</f>
        <v>1744.47</v>
      </c>
      <c r="J166" s="1">
        <f>SUM(OSRRefD21_11x_6)</f>
        <v>223.63</v>
      </c>
      <c r="K166" s="1">
        <f>SUM(OSRRefD21_11x_7)</f>
        <v>-4.21</v>
      </c>
      <c r="L166" s="1">
        <f>SUM(OSRRefD21_11x_8)</f>
        <v>0</v>
      </c>
      <c r="M166" s="1">
        <f>SUM(OSRRefD21_11x_9)</f>
        <v>93.84</v>
      </c>
      <c r="N166" s="1">
        <f>SUM(OSRRefE21_11x_0)</f>
        <v>1500</v>
      </c>
      <c r="O166" s="1">
        <f>SUM(OSRRefE21_11x_1)</f>
        <v>250</v>
      </c>
      <c r="Q166" s="2">
        <f>SUM(OSRRefD20_11x)+IFERROR(SUM(OSRRefE20_11x),0)</f>
        <v>4353.63</v>
      </c>
    </row>
    <row r="167" spans="1:17" s="34" customFormat="1" hidden="1" outlineLevel="1" x14ac:dyDescent="0.25">
      <c r="A167" s="35"/>
      <c r="B167" s="10" t="str">
        <f>CONCATENATE("          ","6269", " - ","ENTERTAINMENT")</f>
        <v xml:space="preserve">          6269 - ENTERTAINMENT</v>
      </c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>
        <v>1250</v>
      </c>
      <c r="O167" s="2">
        <v>0</v>
      </c>
      <c r="P167" s="9"/>
      <c r="Q167" s="2">
        <f>SUM(OSRRefD21_11_0x)+IFERROR(SUM(OSRRefE21_11_0x),0)</f>
        <v>1250</v>
      </c>
    </row>
    <row r="168" spans="1:17" s="34" customFormat="1" hidden="1" outlineLevel="1" x14ac:dyDescent="0.25">
      <c r="A168" s="35"/>
      <c r="B168" s="10" t="str">
        <f>CONCATENATE("          ","6279", " - ","GENERAL EXPENSE")</f>
        <v xml:space="preserve">          6279 - GENERAL EXPENSE</v>
      </c>
      <c r="C168" s="11"/>
      <c r="D168" s="2">
        <v>-3320.09</v>
      </c>
      <c r="E168" s="2">
        <v>113.26</v>
      </c>
      <c r="F168" s="2"/>
      <c r="G168" s="2">
        <v>-40</v>
      </c>
      <c r="H168" s="2">
        <v>3792.73</v>
      </c>
      <c r="I168" s="2">
        <v>1744.47</v>
      </c>
      <c r="J168" s="2">
        <v>223.63</v>
      </c>
      <c r="K168" s="2">
        <v>-4.21</v>
      </c>
      <c r="L168" s="2">
        <v>0</v>
      </c>
      <c r="M168" s="2">
        <v>93.84</v>
      </c>
      <c r="N168" s="2">
        <v>250</v>
      </c>
      <c r="O168" s="2">
        <v>250</v>
      </c>
      <c r="P168" s="9"/>
      <c r="Q168" s="2">
        <f>SUM(OSRRefD21_11_1x)+IFERROR(SUM(OSRRefE21_11_1x),0)</f>
        <v>3103.63</v>
      </c>
    </row>
    <row r="169" spans="1:17" s="34" customFormat="1" collapsed="1" x14ac:dyDescent="0.25">
      <c r="A169" s="35"/>
      <c r="B169" s="11" t="str">
        <f>CONCATENATE("     ","Insurance                                         ")</f>
        <v xml:space="preserve">     Insurance                                         </v>
      </c>
      <c r="C169" s="11"/>
      <c r="D169" s="1">
        <f>SUM(OSRRefD21_12x_0)</f>
        <v>4044.74</v>
      </c>
      <c r="E169" s="1">
        <f>SUM(OSRRefD21_12x_1)</f>
        <v>4044.74</v>
      </c>
      <c r="F169" s="1">
        <f>SUM(OSRRefD21_12x_2)</f>
        <v>4044.74</v>
      </c>
      <c r="G169" s="1">
        <f>SUM(OSRRefD21_12x_3)</f>
        <v>4044.74</v>
      </c>
      <c r="H169" s="1">
        <f>SUM(OSRRefD21_12x_4)</f>
        <v>4044.74</v>
      </c>
      <c r="I169" s="1">
        <f>SUM(OSRRefD21_12x_5)</f>
        <v>4044.74</v>
      </c>
      <c r="J169" s="1">
        <f>SUM(OSRRefD21_12x_6)</f>
        <v>4044.74</v>
      </c>
      <c r="K169" s="1">
        <f>SUM(OSRRefD21_12x_7)</f>
        <v>4044.74</v>
      </c>
      <c r="L169" s="1">
        <f>SUM(OSRRefD21_12x_8)</f>
        <v>4044.74</v>
      </c>
      <c r="M169" s="1">
        <f>SUM(OSRRefD21_12x_9)</f>
        <v>4044.74</v>
      </c>
      <c r="N169" s="1">
        <f>SUM(OSRRefE21_12x_0)</f>
        <v>4446</v>
      </c>
      <c r="O169" s="1">
        <f>SUM(OSRRefE21_12x_1)</f>
        <v>4446</v>
      </c>
      <c r="Q169" s="2">
        <f>SUM(OSRRefD20_12x)+IFERROR(SUM(OSRRefE20_12x),0)</f>
        <v>49339.399999999987</v>
      </c>
    </row>
    <row r="170" spans="1:17" s="34" customFormat="1" hidden="1" outlineLevel="1" x14ac:dyDescent="0.25">
      <c r="A170" s="35"/>
      <c r="B170" s="10" t="str">
        <f>CONCATENATE("          ","6314", " - ","LIABILITY INSURANCE")</f>
        <v xml:space="preserve">          6314 - LIABILITY INSURANCE</v>
      </c>
      <c r="C170" s="11"/>
      <c r="D170" s="2">
        <v>4044.74</v>
      </c>
      <c r="E170" s="2">
        <v>4044.74</v>
      </c>
      <c r="F170" s="2">
        <v>4044.74</v>
      </c>
      <c r="G170" s="2">
        <v>4044.74</v>
      </c>
      <c r="H170" s="2">
        <v>4044.74</v>
      </c>
      <c r="I170" s="2">
        <v>4044.74</v>
      </c>
      <c r="J170" s="2">
        <v>4044.74</v>
      </c>
      <c r="K170" s="2">
        <v>4044.74</v>
      </c>
      <c r="L170" s="2">
        <v>4044.74</v>
      </c>
      <c r="M170" s="2">
        <v>4044.74</v>
      </c>
      <c r="N170" s="2">
        <v>4446</v>
      </c>
      <c r="O170" s="2">
        <v>4446</v>
      </c>
      <c r="P170" s="9"/>
      <c r="Q170" s="2">
        <f>SUM(OSRRefD21_12_0x)+IFERROR(SUM(OSRRefE21_12_0x),0)</f>
        <v>49339.399999999987</v>
      </c>
    </row>
    <row r="171" spans="1:17" s="34" customFormat="1" collapsed="1" x14ac:dyDescent="0.25">
      <c r="A171" s="35"/>
      <c r="B171" s="11" t="str">
        <f>CONCATENATE("     ","Inventory Adjustment                              ")</f>
        <v xml:space="preserve">     Inventory Adjustment                              </v>
      </c>
      <c r="C171" s="11"/>
      <c r="D171" s="1">
        <f>SUM(OSRRefD21_13x_0)</f>
        <v>2100</v>
      </c>
      <c r="E171" s="1">
        <f>SUM(OSRRefD21_13x_1)</f>
        <v>2100</v>
      </c>
      <c r="F171" s="1">
        <f>SUM(OSRRefD21_13x_2)</f>
        <v>2100</v>
      </c>
      <c r="G171" s="1">
        <f>SUM(OSRRefD21_13x_3)</f>
        <v>2100</v>
      </c>
      <c r="H171" s="1">
        <f>SUM(OSRRefD21_13x_4)</f>
        <v>2100</v>
      </c>
      <c r="I171" s="1">
        <f>SUM(OSRRefD21_13x_5)</f>
        <v>7100</v>
      </c>
      <c r="J171" s="1">
        <f>SUM(OSRRefD21_13x_6)</f>
        <v>2100</v>
      </c>
      <c r="K171" s="1">
        <f>SUM(OSRRefD21_13x_7)</f>
        <v>2100</v>
      </c>
      <c r="L171" s="1">
        <f>SUM(OSRRefD21_13x_8)</f>
        <v>2100</v>
      </c>
      <c r="M171" s="1">
        <f>SUM(OSRRefD21_13x_9)</f>
        <v>2100</v>
      </c>
      <c r="N171" s="1">
        <f>SUM(OSRRefE21_13x_0)</f>
        <v>2100</v>
      </c>
      <c r="O171" s="1">
        <f>SUM(OSRRefE21_13x_1)</f>
        <v>16100</v>
      </c>
      <c r="Q171" s="2">
        <f>SUM(OSRRefD20_13x)+IFERROR(SUM(OSRRefE20_13x),0)</f>
        <v>44200</v>
      </c>
    </row>
    <row r="172" spans="1:17" s="34" customFormat="1" hidden="1" outlineLevel="1" x14ac:dyDescent="0.25">
      <c r="A172" s="35"/>
      <c r="B172" s="10" t="str">
        <f>CONCATENATE("          ","6408", " - ","INVENTORY ADJUSTMENT")</f>
        <v xml:space="preserve">          6408 - INVENTORY ADJUSTMENT</v>
      </c>
      <c r="C172" s="11"/>
      <c r="D172" s="2">
        <v>2100</v>
      </c>
      <c r="E172" s="2">
        <v>2100</v>
      </c>
      <c r="F172" s="2">
        <v>2100</v>
      </c>
      <c r="G172" s="2">
        <v>2100</v>
      </c>
      <c r="H172" s="2">
        <v>2100</v>
      </c>
      <c r="I172" s="2">
        <v>7100</v>
      </c>
      <c r="J172" s="2">
        <v>2100</v>
      </c>
      <c r="K172" s="2">
        <v>2100</v>
      </c>
      <c r="L172" s="2">
        <v>2100</v>
      </c>
      <c r="M172" s="2">
        <v>2100</v>
      </c>
      <c r="N172" s="2">
        <v>2100</v>
      </c>
      <c r="O172" s="2">
        <v>16100</v>
      </c>
      <c r="P172" s="9"/>
      <c r="Q172" s="2">
        <f>SUM(OSRRefD21_13_0x)+IFERROR(SUM(OSRRefE21_13_0x),0)</f>
        <v>44200</v>
      </c>
    </row>
    <row r="173" spans="1:17" s="34" customFormat="1" hidden="1" outlineLevel="1" x14ac:dyDescent="0.25">
      <c r="A173" s="35"/>
      <c r="B173" s="10" t="str">
        <f>CONCATENATE("          ","7741", " - ","INV. SHRINKAGE-LOGO GIFTS")</f>
        <v xml:space="preserve">          7741 - INV. SHRINKAGE-LOGO GIFTS</v>
      </c>
      <c r="C173" s="11"/>
      <c r="D173" s="2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9"/>
      <c r="Q173" s="2">
        <f>SUM(OSRRefD21_13_1x)+IFERROR(SUM(OSRRefE21_13_1x),0)</f>
        <v>0</v>
      </c>
    </row>
    <row r="174" spans="1:17" s="34" customFormat="1" collapsed="1" x14ac:dyDescent="0.25">
      <c r="A174" s="35"/>
      <c r="B174" s="11" t="str">
        <f>CONCATENATE("     ","Professional Services                             ")</f>
        <v xml:space="preserve">     Professional Services                             </v>
      </c>
      <c r="C174" s="11"/>
      <c r="D174" s="1">
        <f>SUM(OSRRefD21_14x_0)</f>
        <v>0</v>
      </c>
      <c r="E174" s="1">
        <f>SUM(OSRRefD21_14x_1)</f>
        <v>0</v>
      </c>
      <c r="F174" s="1">
        <f>SUM(OSRRefD21_14x_2)</f>
        <v>0</v>
      </c>
      <c r="G174" s="1">
        <f>SUM(OSRRefD21_14x_3)</f>
        <v>0</v>
      </c>
      <c r="H174" s="1">
        <f>SUM(OSRRefD21_14x_4)</f>
        <v>0</v>
      </c>
      <c r="I174" s="1">
        <f>SUM(OSRRefD21_14x_5)</f>
        <v>0</v>
      </c>
      <c r="J174" s="1">
        <f>SUM(OSRRefD21_14x_6)</f>
        <v>0</v>
      </c>
      <c r="K174" s="1">
        <f>SUM(OSRRefD21_14x_7)</f>
        <v>0</v>
      </c>
      <c r="L174" s="1">
        <f>SUM(OSRRefD21_14x_8)</f>
        <v>0</v>
      </c>
      <c r="M174" s="1">
        <f>SUM(OSRRefD21_14x_9)</f>
        <v>0</v>
      </c>
      <c r="N174" s="1">
        <f>SUM(OSRRefE21_14x_0)</f>
        <v>0</v>
      </c>
      <c r="O174" s="1">
        <f>SUM(OSRRefE21_14x_1)</f>
        <v>0</v>
      </c>
      <c r="Q174" s="2">
        <f>SUM(OSRRefD20_14x)+IFERROR(SUM(OSRRefE20_14x),0)</f>
        <v>0</v>
      </c>
    </row>
    <row r="175" spans="1:17" s="34" customFormat="1" hidden="1" outlineLevel="1" x14ac:dyDescent="0.25">
      <c r="A175" s="35"/>
      <c r="B175" s="10" t="str">
        <f>CONCATENATE("          ","6336", " - ","PROFESSIONAL SERVICES")</f>
        <v xml:space="preserve">          6336 - PROFESSIONAL SERVICES</v>
      </c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>
        <v>0</v>
      </c>
      <c r="O175" s="2">
        <v>0</v>
      </c>
      <c r="P175" s="9"/>
      <c r="Q175" s="2">
        <f>SUM(OSRRefD21_14_0x)+IFERROR(SUM(OSRRefE21_14_0x),0)</f>
        <v>0</v>
      </c>
    </row>
    <row r="176" spans="1:17" s="34" customFormat="1" collapsed="1" x14ac:dyDescent="0.25">
      <c r="A176" s="35"/>
      <c r="B176" s="11" t="str">
        <f>CONCATENATE("     ","Rent                                              ")</f>
        <v xml:space="preserve">     Rent                                              </v>
      </c>
      <c r="C176" s="11"/>
      <c r="D176" s="1">
        <f>SUM(OSRRefD21_15x_0)</f>
        <v>6100</v>
      </c>
      <c r="E176" s="1">
        <f>SUM(OSRRefD21_15x_1)</f>
        <v>6100</v>
      </c>
      <c r="F176" s="1">
        <f>SUM(OSRRefD21_15x_2)</f>
        <v>6100</v>
      </c>
      <c r="G176" s="1">
        <f>SUM(OSRRefD21_15x_3)</f>
        <v>6100</v>
      </c>
      <c r="H176" s="1">
        <f>SUM(OSRRefD21_15x_4)</f>
        <v>6100</v>
      </c>
      <c r="I176" s="1">
        <f>SUM(OSRRefD21_15x_5)</f>
        <v>6100</v>
      </c>
      <c r="J176" s="1">
        <f>SUM(OSRRefD21_15x_6)</f>
        <v>6100</v>
      </c>
      <c r="K176" s="1">
        <f>SUM(OSRRefD21_15x_7)</f>
        <v>6100</v>
      </c>
      <c r="L176" s="1">
        <f>SUM(OSRRefD21_15x_8)</f>
        <v>6100</v>
      </c>
      <c r="M176" s="1">
        <f>SUM(OSRRefD21_15x_9)</f>
        <v>6100</v>
      </c>
      <c r="N176" s="1">
        <f>SUM(OSRRefE21_15x_0)</f>
        <v>6100</v>
      </c>
      <c r="O176" s="1">
        <f>SUM(OSRRefE21_15x_1)</f>
        <v>6100</v>
      </c>
      <c r="Q176" s="2">
        <f>SUM(OSRRefD20_15x)+IFERROR(SUM(OSRRefE20_15x),0)</f>
        <v>73200</v>
      </c>
    </row>
    <row r="177" spans="1:17" s="34" customFormat="1" hidden="1" outlineLevel="1" x14ac:dyDescent="0.25">
      <c r="A177" s="35"/>
      <c r="B177" s="10" t="str">
        <f>CONCATENATE("          ","6273", " - ","RENT")</f>
        <v xml:space="preserve">          6273 - RENT</v>
      </c>
      <c r="C177" s="11"/>
      <c r="D177" s="2">
        <v>6100</v>
      </c>
      <c r="E177" s="2">
        <v>6100</v>
      </c>
      <c r="F177" s="2">
        <v>6100</v>
      </c>
      <c r="G177" s="2">
        <v>6100</v>
      </c>
      <c r="H177" s="2">
        <v>6100</v>
      </c>
      <c r="I177" s="2">
        <v>6100</v>
      </c>
      <c r="J177" s="2">
        <v>6100</v>
      </c>
      <c r="K177" s="2">
        <v>6100</v>
      </c>
      <c r="L177" s="2">
        <v>6100</v>
      </c>
      <c r="M177" s="2">
        <v>6100</v>
      </c>
      <c r="N177" s="2">
        <v>6100</v>
      </c>
      <c r="O177" s="2">
        <v>6100</v>
      </c>
      <c r="P177" s="9"/>
      <c r="Q177" s="2">
        <f>SUM(OSRRefD21_15_0x)+IFERROR(SUM(OSRRefE21_15_0x),0)</f>
        <v>73200</v>
      </c>
    </row>
    <row r="178" spans="1:17" s="34" customFormat="1" collapsed="1" x14ac:dyDescent="0.25">
      <c r="A178" s="35"/>
      <c r="B178" s="11" t="str">
        <f>CONCATENATE("     ","Repair and Maintenance                            ")</f>
        <v xml:space="preserve">     Repair and Maintenance                            </v>
      </c>
      <c r="C178" s="11"/>
      <c r="D178" s="1">
        <f>SUM(OSRRefD21_16x_0)</f>
        <v>66347.77</v>
      </c>
      <c r="E178" s="1">
        <f>SUM(OSRRefD21_16x_1)</f>
        <v>6705.0199999999995</v>
      </c>
      <c r="F178" s="1">
        <f>SUM(OSRRefD21_16x_2)</f>
        <v>13339.48</v>
      </c>
      <c r="G178" s="1">
        <f>SUM(OSRRefD21_16x_3)</f>
        <v>11552.1</v>
      </c>
      <c r="H178" s="1">
        <f>SUM(OSRRefD21_16x_4)</f>
        <v>3234.7799999999997</v>
      </c>
      <c r="I178" s="1">
        <f>SUM(OSRRefD21_16x_5)</f>
        <v>7951.17</v>
      </c>
      <c r="J178" s="1">
        <f>SUM(OSRRefD21_16x_6)</f>
        <v>3697</v>
      </c>
      <c r="K178" s="1">
        <f>SUM(OSRRefD21_16x_7)</f>
        <v>16129.08</v>
      </c>
      <c r="L178" s="1">
        <f>SUM(OSRRefD21_16x_8)</f>
        <v>1473.46</v>
      </c>
      <c r="M178" s="1">
        <f>SUM(OSRRefD21_16x_9)</f>
        <v>2485.83</v>
      </c>
      <c r="N178" s="1">
        <f>SUM(OSRRefE21_16x_0)</f>
        <v>20290</v>
      </c>
      <c r="O178" s="1">
        <f>SUM(OSRRefE21_16x_1)</f>
        <v>9190</v>
      </c>
      <c r="Q178" s="2">
        <f>SUM(OSRRefD20_16x)+IFERROR(SUM(OSRRefE20_16x),0)</f>
        <v>162395.69</v>
      </c>
    </row>
    <row r="179" spans="1:17" s="34" customFormat="1" hidden="1" outlineLevel="1" x14ac:dyDescent="0.25">
      <c r="A179" s="35"/>
      <c r="B179" s="10" t="str">
        <f>CONCATENATE("          ","6371", " - ","COMPUTER SOFTWARE MAINTENANCE")</f>
        <v xml:space="preserve">          6371 - COMPUTER SOFTWARE MAINTENANCE</v>
      </c>
      <c r="C179" s="11"/>
      <c r="D179" s="2">
        <v>58428.78</v>
      </c>
      <c r="E179" s="2"/>
      <c r="F179" s="2"/>
      <c r="G179" s="2">
        <v>7.69</v>
      </c>
      <c r="H179" s="2"/>
      <c r="I179" s="2"/>
      <c r="J179" s="2"/>
      <c r="K179" s="2">
        <v>1331.25</v>
      </c>
      <c r="L179" s="2"/>
      <c r="M179" s="2"/>
      <c r="N179" s="2">
        <v>12000</v>
      </c>
      <c r="O179" s="2"/>
      <c r="P179" s="9"/>
      <c r="Q179" s="2">
        <f>SUM(OSRRefD21_16_0x)+IFERROR(SUM(OSRRefE21_16_0x),0)</f>
        <v>71767.72</v>
      </c>
    </row>
    <row r="180" spans="1:17" s="34" customFormat="1" hidden="1" outlineLevel="1" x14ac:dyDescent="0.25">
      <c r="A180" s="35"/>
      <c r="B180" s="10" t="str">
        <f>CONCATENATE("          ","6372", " - ","COMPUTER HARDWARE MAINTENANCE")</f>
        <v xml:space="preserve">          6372 - COMPUTER HARDWARE MAINTENANCE</v>
      </c>
      <c r="C180" s="11"/>
      <c r="D180" s="2"/>
      <c r="E180" s="2">
        <v>0.98</v>
      </c>
      <c r="F180" s="2">
        <v>-9.09</v>
      </c>
      <c r="G180" s="2">
        <v>8.11</v>
      </c>
      <c r="H180" s="2"/>
      <c r="I180" s="2"/>
      <c r="J180" s="2"/>
      <c r="K180" s="2">
        <v>-1.1499999999999999</v>
      </c>
      <c r="L180" s="2"/>
      <c r="M180" s="2"/>
      <c r="N180" s="2"/>
      <c r="O180" s="2"/>
      <c r="P180" s="9"/>
      <c r="Q180" s="2">
        <f>SUM(OSRRefD21_16_1x)+IFERROR(SUM(OSRRefE21_16_1x),0)</f>
        <v>-1.1499999999999999</v>
      </c>
    </row>
    <row r="181" spans="1:17" s="34" customFormat="1" hidden="1" outlineLevel="1" x14ac:dyDescent="0.25">
      <c r="A181" s="35"/>
      <c r="B181" s="10" t="str">
        <f>CONCATENATE("          ","6373", " - ","MAINTENANCE CONTRACTS")</f>
        <v xml:space="preserve">          6373 - MAINTENANCE CONTRACTS</v>
      </c>
      <c r="C181" s="11"/>
      <c r="D181" s="2">
        <v>6416.01</v>
      </c>
      <c r="E181" s="2">
        <v>6370.22</v>
      </c>
      <c r="F181" s="2">
        <v>12402.82</v>
      </c>
      <c r="G181" s="2">
        <v>5396.67</v>
      </c>
      <c r="H181" s="2">
        <v>440.29</v>
      </c>
      <c r="I181" s="2">
        <v>7906.17</v>
      </c>
      <c r="J181" s="2">
        <v>1122</v>
      </c>
      <c r="K181" s="2">
        <v>3372.5</v>
      </c>
      <c r="L181" s="2">
        <v>1262.9000000000001</v>
      </c>
      <c r="M181" s="2">
        <v>1429</v>
      </c>
      <c r="N181" s="2">
        <v>2540</v>
      </c>
      <c r="O181" s="2">
        <v>3540</v>
      </c>
      <c r="P181" s="9"/>
      <c r="Q181" s="2">
        <f>SUM(OSRRefD21_16_2x)+IFERROR(SUM(OSRRefE21_16_2x),0)</f>
        <v>52198.58</v>
      </c>
    </row>
    <row r="182" spans="1:17" s="34" customFormat="1" hidden="1" outlineLevel="1" x14ac:dyDescent="0.25">
      <c r="A182" s="35"/>
      <c r="B182" s="10" t="str">
        <f>CONCATENATE("          ","6375", " - ","OUTSIDE REPAIRS &amp; MAINTENANCE")</f>
        <v xml:space="preserve">          6375 - OUTSIDE REPAIRS &amp; MAINTENANCE</v>
      </c>
      <c r="C182" s="11"/>
      <c r="D182" s="2">
        <v>1502.98</v>
      </c>
      <c r="E182" s="2">
        <v>333.82</v>
      </c>
      <c r="F182" s="2">
        <v>945.75</v>
      </c>
      <c r="G182" s="2">
        <v>6139.63</v>
      </c>
      <c r="H182" s="2">
        <v>2794.49</v>
      </c>
      <c r="I182" s="2">
        <v>45</v>
      </c>
      <c r="J182" s="2">
        <v>2575</v>
      </c>
      <c r="K182" s="2">
        <v>11426.48</v>
      </c>
      <c r="L182" s="2">
        <v>210.56</v>
      </c>
      <c r="M182" s="2">
        <v>1056.83</v>
      </c>
      <c r="N182" s="2">
        <v>5750</v>
      </c>
      <c r="O182" s="2">
        <v>5650</v>
      </c>
      <c r="P182" s="9"/>
      <c r="Q182" s="2">
        <f>SUM(OSRRefD21_16_3x)+IFERROR(SUM(OSRRefE21_16_3x),0)</f>
        <v>38430.54</v>
      </c>
    </row>
    <row r="183" spans="1:17" s="34" customFormat="1" collapsed="1" x14ac:dyDescent="0.25">
      <c r="A183" s="35"/>
      <c r="B183" s="11" t="str">
        <f>CONCATENATE("     ","Royalty &amp; Commissions                             ")</f>
        <v xml:space="preserve">     Royalty &amp; Commissions                             </v>
      </c>
      <c r="C183" s="11"/>
      <c r="D183" s="1">
        <f>SUM(OSRRefD21_17x_0)</f>
        <v>10989.75</v>
      </c>
      <c r="E183" s="1">
        <f>SUM(OSRRefD21_17x_1)</f>
        <v>2254.65</v>
      </c>
      <c r="F183" s="1">
        <f>SUM(OSRRefD21_17x_2)</f>
        <v>62.6</v>
      </c>
      <c r="G183" s="1">
        <f>SUM(OSRRefD21_17x_3)</f>
        <v>10810</v>
      </c>
      <c r="H183" s="1">
        <f>SUM(OSRRefD21_17x_4)</f>
        <v>4453.09</v>
      </c>
      <c r="I183" s="1">
        <f>SUM(OSRRefD21_17x_5)</f>
        <v>5.97</v>
      </c>
      <c r="J183" s="1">
        <f>SUM(OSRRefD21_17x_6)</f>
        <v>7789.59</v>
      </c>
      <c r="K183" s="1">
        <f>SUM(OSRRefD21_17x_7)</f>
        <v>468.34</v>
      </c>
      <c r="L183" s="1">
        <f>SUM(OSRRefD21_17x_8)</f>
        <v>27.21</v>
      </c>
      <c r="M183" s="1">
        <f>SUM(OSRRefD21_17x_9)</f>
        <v>11531.75</v>
      </c>
      <c r="N183" s="1">
        <f>SUM(OSRRefE21_17x_0)</f>
        <v>6371</v>
      </c>
      <c r="O183" s="1">
        <f>SUM(OSRRefE21_17x_1)</f>
        <v>6371</v>
      </c>
      <c r="Q183" s="2">
        <f>SUM(OSRRefD20_17x)+IFERROR(SUM(OSRRefE20_17x),0)</f>
        <v>61134.95</v>
      </c>
    </row>
    <row r="184" spans="1:17" s="34" customFormat="1" hidden="1" outlineLevel="1" x14ac:dyDescent="0.25">
      <c r="A184" s="35"/>
      <c r="B184" s="10" t="str">
        <f>CONCATENATE("          ","6252", " - ","ROYALTY DUE CSTV")</f>
        <v xml:space="preserve">          6252 - ROYALTY DUE CSTV</v>
      </c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>
        <v>1085</v>
      </c>
      <c r="O184" s="2">
        <v>1085</v>
      </c>
      <c r="P184" s="9"/>
      <c r="Q184" s="2">
        <f>SUM(OSRRefD21_17_0x)+IFERROR(SUM(OSRRefE21_17_0x),0)</f>
        <v>2170</v>
      </c>
    </row>
    <row r="185" spans="1:17" s="34" customFormat="1" hidden="1" outlineLevel="1" x14ac:dyDescent="0.25">
      <c r="A185" s="35"/>
      <c r="B185" s="10" t="str">
        <f>CONCATENATE("          ","6253", " - ","ROYALTY DUE ATHLETICS-LRG")</f>
        <v xml:space="preserve">          6253 - ROYALTY DUE ATHLETICS-LRG</v>
      </c>
      <c r="C185" s="11"/>
      <c r="D185" s="2">
        <v>5672.2</v>
      </c>
      <c r="E185" s="2">
        <v>2250</v>
      </c>
      <c r="F185" s="2"/>
      <c r="G185" s="2">
        <v>10489.6</v>
      </c>
      <c r="H185" s="2"/>
      <c r="I185" s="2"/>
      <c r="J185" s="2">
        <v>7785.78</v>
      </c>
      <c r="K185" s="2"/>
      <c r="L185" s="2"/>
      <c r="M185" s="2">
        <v>8961.48</v>
      </c>
      <c r="N185" s="2">
        <v>4037</v>
      </c>
      <c r="O185" s="2">
        <v>4037</v>
      </c>
      <c r="P185" s="9"/>
      <c r="Q185" s="2">
        <f>SUM(OSRRefD21_17_1x)+IFERROR(SUM(OSRRefE21_17_1x),0)</f>
        <v>43233.06</v>
      </c>
    </row>
    <row r="186" spans="1:17" s="34" customFormat="1" hidden="1" outlineLevel="1" x14ac:dyDescent="0.25">
      <c r="A186" s="35"/>
      <c r="B186" s="10" t="str">
        <f>CONCATENATE("          ","6254", " - ","ROYALTY &amp; COMMISSIONS")</f>
        <v xml:space="preserve">          6254 - ROYALTY &amp; COMMISSIONS</v>
      </c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>
        <v>1149</v>
      </c>
      <c r="O186" s="2">
        <v>1149</v>
      </c>
      <c r="P186" s="9"/>
      <c r="Q186" s="2">
        <f>SUM(OSRRefD21_17_2x)+IFERROR(SUM(OSRRefE21_17_2x),0)</f>
        <v>2298</v>
      </c>
    </row>
    <row r="187" spans="1:17" s="34" customFormat="1" hidden="1" outlineLevel="1" x14ac:dyDescent="0.25">
      <c r="A187" s="35"/>
      <c r="B187" s="10" t="str">
        <f>CONCATENATE("          ","6259", " - ","ROYALTY &amp; COMMISSIONS")</f>
        <v xml:space="preserve">          6259 - ROYALTY &amp; COMMISSIONS</v>
      </c>
      <c r="C187" s="11"/>
      <c r="D187" s="2">
        <v>5317.55</v>
      </c>
      <c r="E187" s="2">
        <v>4.6500000000000004</v>
      </c>
      <c r="F187" s="2">
        <v>62.6</v>
      </c>
      <c r="G187" s="2">
        <v>320.39999999999998</v>
      </c>
      <c r="H187" s="2">
        <v>4453.09</v>
      </c>
      <c r="I187" s="2">
        <v>5.97</v>
      </c>
      <c r="J187" s="2">
        <v>3.81</v>
      </c>
      <c r="K187" s="2">
        <v>468.34</v>
      </c>
      <c r="L187" s="2">
        <v>27.21</v>
      </c>
      <c r="M187" s="2">
        <v>2570.27</v>
      </c>
      <c r="N187" s="2">
        <v>100</v>
      </c>
      <c r="O187" s="2">
        <v>100</v>
      </c>
      <c r="P187" s="9"/>
      <c r="Q187" s="2">
        <f>SUM(OSRRefD21_17_3x)+IFERROR(SUM(OSRRefE21_17_3x),0)</f>
        <v>13433.89</v>
      </c>
    </row>
    <row r="188" spans="1:17" s="34" customFormat="1" collapsed="1" x14ac:dyDescent="0.25">
      <c r="A188" s="35"/>
      <c r="B188" s="11" t="str">
        <f>CONCATENATE("     ","Services                                          ")</f>
        <v xml:space="preserve">     Services                                          </v>
      </c>
      <c r="C188" s="11"/>
      <c r="D188" s="1">
        <f>SUM(OSRRefD21_18x_0)</f>
        <v>3883.7400000000002</v>
      </c>
      <c r="E188" s="1">
        <f>SUM(OSRRefD21_18x_1)</f>
        <v>421.78</v>
      </c>
      <c r="F188" s="1">
        <f>SUM(OSRRefD21_18x_2)</f>
        <v>4517.25</v>
      </c>
      <c r="G188" s="1">
        <f>SUM(OSRRefD21_18x_3)</f>
        <v>3968.4200000000005</v>
      </c>
      <c r="H188" s="1">
        <f>SUM(OSRRefD21_18x_4)</f>
        <v>3898.5299999999997</v>
      </c>
      <c r="I188" s="1">
        <f>SUM(OSRRefD21_18x_5)</f>
        <v>2494.0299999999997</v>
      </c>
      <c r="J188" s="1">
        <f>SUM(OSRRefD21_18x_6)</f>
        <v>5545.57</v>
      </c>
      <c r="K188" s="1">
        <f>SUM(OSRRefD21_18x_7)</f>
        <v>3932.57</v>
      </c>
      <c r="L188" s="1">
        <f>SUM(OSRRefD21_18x_8)</f>
        <v>7475.7699999999995</v>
      </c>
      <c r="M188" s="1">
        <f>SUM(OSRRefD21_18x_9)</f>
        <v>4006.32</v>
      </c>
      <c r="N188" s="1">
        <f>SUM(OSRRefE21_18x_0)</f>
        <v>4455</v>
      </c>
      <c r="O188" s="1">
        <f>SUM(OSRRefE21_18x_1)</f>
        <v>4510</v>
      </c>
      <c r="Q188" s="2">
        <f>SUM(OSRRefD20_18x)+IFERROR(SUM(OSRRefE20_18x),0)</f>
        <v>49108.979999999996</v>
      </c>
    </row>
    <row r="189" spans="1:17" s="34" customFormat="1" hidden="1" outlineLevel="1" x14ac:dyDescent="0.25">
      <c r="A189" s="35"/>
      <c r="B189" s="10" t="str">
        <f>CONCATENATE("          ","6282", " - ","JANITORIAL/EXTERMINATOR EXPENS")</f>
        <v xml:space="preserve">          6282 - JANITORIAL/EXTERMINATOR EXPENS</v>
      </c>
      <c r="C189" s="11"/>
      <c r="D189" s="2">
        <v>136.5</v>
      </c>
      <c r="E189" s="2">
        <v>339.94</v>
      </c>
      <c r="F189" s="2">
        <v>266.5</v>
      </c>
      <c r="G189" s="2">
        <v>4330.68</v>
      </c>
      <c r="H189" s="2">
        <v>266.5</v>
      </c>
      <c r="I189" s="2"/>
      <c r="J189" s="2">
        <v>1613</v>
      </c>
      <c r="K189" s="2"/>
      <c r="L189" s="2">
        <v>453</v>
      </c>
      <c r="M189" s="2"/>
      <c r="N189" s="2">
        <v>4000</v>
      </c>
      <c r="O189" s="2">
        <v>4000</v>
      </c>
      <c r="P189" s="9"/>
      <c r="Q189" s="2">
        <f>SUM(OSRRefD21_18_0x)+IFERROR(SUM(OSRRefE21_18_0x),0)</f>
        <v>15406.12</v>
      </c>
    </row>
    <row r="190" spans="1:17" s="34" customFormat="1" hidden="1" outlineLevel="1" x14ac:dyDescent="0.25">
      <c r="A190" s="35"/>
      <c r="B190" s="10" t="str">
        <f>CONCATENATE("          ","6283", " - ","PLANT SERVICE")</f>
        <v xml:space="preserve">          6283 - PLANT SERVICE</v>
      </c>
      <c r="C190" s="11"/>
      <c r="D190" s="2">
        <v>130</v>
      </c>
      <c r="E190" s="2"/>
      <c r="F190" s="2"/>
      <c r="G190" s="2"/>
      <c r="H190" s="2">
        <v>41.31</v>
      </c>
      <c r="I190" s="2"/>
      <c r="J190" s="2"/>
      <c r="K190" s="2"/>
      <c r="L190" s="2"/>
      <c r="M190" s="2"/>
      <c r="N190" s="2">
        <v>0</v>
      </c>
      <c r="O190" s="2">
        <v>0</v>
      </c>
      <c r="P190" s="9"/>
      <c r="Q190" s="2">
        <f>SUM(OSRRefD21_18_1x)+IFERROR(SUM(OSRRefE21_18_1x),0)</f>
        <v>171.31</v>
      </c>
    </row>
    <row r="191" spans="1:17" s="34" customFormat="1" hidden="1" outlineLevel="1" x14ac:dyDescent="0.25">
      <c r="A191" s="35"/>
      <c r="B191" s="10" t="str">
        <f>CONCATENATE("          ","6284", " - ","TRASH REMOVAL EXPENSE")</f>
        <v xml:space="preserve">          6284 - TRASH REMOVAL EXPENSE</v>
      </c>
      <c r="C191" s="11"/>
      <c r="D191" s="2">
        <v>142.57</v>
      </c>
      <c r="E191" s="2">
        <v>142.57</v>
      </c>
      <c r="F191" s="2">
        <v>142.57</v>
      </c>
      <c r="G191" s="2">
        <v>157.59</v>
      </c>
      <c r="H191" s="2"/>
      <c r="I191" s="2">
        <v>285.14</v>
      </c>
      <c r="J191" s="2">
        <v>142.57</v>
      </c>
      <c r="K191" s="2">
        <v>142.57</v>
      </c>
      <c r="L191" s="2">
        <v>142.57</v>
      </c>
      <c r="M191" s="2">
        <v>142.57</v>
      </c>
      <c r="N191" s="2">
        <v>55</v>
      </c>
      <c r="O191" s="2">
        <v>110</v>
      </c>
      <c r="P191" s="9"/>
      <c r="Q191" s="2">
        <f>SUM(OSRRefD21_18_2x)+IFERROR(SUM(OSRRefE21_18_2x),0)</f>
        <v>1605.7199999999998</v>
      </c>
    </row>
    <row r="192" spans="1:17" s="34" customFormat="1" hidden="1" outlineLevel="1" x14ac:dyDescent="0.25">
      <c r="A192" s="35"/>
      <c r="B192" s="10" t="str">
        <f>CONCATENATE("          ","6285", " - ","JANITORIAL SERVICES")</f>
        <v xml:space="preserve">          6285 - JANITORIAL SERVICES</v>
      </c>
      <c r="C192" s="11"/>
      <c r="D192" s="2">
        <v>3474.67</v>
      </c>
      <c r="E192" s="2">
        <v>-60.73</v>
      </c>
      <c r="F192" s="2">
        <v>4108.18</v>
      </c>
      <c r="G192" s="2">
        <v>-519.85</v>
      </c>
      <c r="H192" s="2">
        <v>3590.72</v>
      </c>
      <c r="I192" s="2">
        <v>2208.89</v>
      </c>
      <c r="J192" s="2">
        <v>3790</v>
      </c>
      <c r="K192" s="2">
        <v>3790</v>
      </c>
      <c r="L192" s="2">
        <v>6880.2</v>
      </c>
      <c r="M192" s="2">
        <v>3863.75</v>
      </c>
      <c r="N192" s="2">
        <v>400</v>
      </c>
      <c r="O192" s="2">
        <v>400</v>
      </c>
      <c r="P192" s="9"/>
      <c r="Q192" s="2">
        <f>SUM(OSRRefD21_18_3x)+IFERROR(SUM(OSRRefE21_18_3x),0)</f>
        <v>31925.829999999998</v>
      </c>
    </row>
    <row r="193" spans="1:17" s="34" customFormat="1" collapsed="1" x14ac:dyDescent="0.25">
      <c r="A193" s="35"/>
      <c r="B193" s="11" t="str">
        <f>CONCATENATE("     ","Subscriptions &amp; Dues                              ")</f>
        <v xml:space="preserve">     Subscriptions &amp; Dues                              </v>
      </c>
      <c r="C193" s="11"/>
      <c r="D193" s="1">
        <f>SUM(OSRRefD21_19x_0)</f>
        <v>365</v>
      </c>
      <c r="E193" s="1">
        <f>SUM(OSRRefD21_19x_1)</f>
        <v>270</v>
      </c>
      <c r="F193" s="1">
        <f>SUM(OSRRefD21_19x_2)</f>
        <v>148.77000000000001</v>
      </c>
      <c r="G193" s="1">
        <f>SUM(OSRRefD21_19x_3)</f>
        <v>865.32</v>
      </c>
      <c r="H193" s="1">
        <f>SUM(OSRRefD21_19x_4)</f>
        <v>-274.08</v>
      </c>
      <c r="I193" s="1">
        <f>SUM(OSRRefD21_19x_5)</f>
        <v>80.430000000000007</v>
      </c>
      <c r="J193" s="1">
        <f>SUM(OSRRefD21_19x_6)</f>
        <v>2389.69</v>
      </c>
      <c r="K193" s="1">
        <f>SUM(OSRRefD21_19x_7)</f>
        <v>181.41</v>
      </c>
      <c r="L193" s="1">
        <f>SUM(OSRRefD21_19x_8)</f>
        <v>307.78999999999996</v>
      </c>
      <c r="M193" s="1">
        <f>SUM(OSRRefD21_19x_9)</f>
        <v>2343.58</v>
      </c>
      <c r="N193" s="1">
        <f>SUM(OSRRefE21_19x_0)</f>
        <v>1100</v>
      </c>
      <c r="O193" s="1">
        <f>SUM(OSRRefE21_19x_1)</f>
        <v>1300</v>
      </c>
      <c r="Q193" s="2">
        <f>SUM(OSRRefD20_19x)+IFERROR(SUM(OSRRefE20_19x),0)</f>
        <v>9077.91</v>
      </c>
    </row>
    <row r="194" spans="1:17" s="34" customFormat="1" hidden="1" outlineLevel="1" x14ac:dyDescent="0.25">
      <c r="A194" s="35"/>
      <c r="B194" s="10" t="str">
        <f>CONCATENATE("          ","6258", " - ","MEMBERSHIP DUES")</f>
        <v xml:space="preserve">          6258 - MEMBERSHIP DUES</v>
      </c>
      <c r="C194" s="11"/>
      <c r="D194" s="2">
        <v>290</v>
      </c>
      <c r="E194" s="2">
        <v>270</v>
      </c>
      <c r="F194" s="2">
        <v>73.040000000000006</v>
      </c>
      <c r="G194" s="2">
        <v>790.32</v>
      </c>
      <c r="H194" s="2">
        <v>-274.08</v>
      </c>
      <c r="I194" s="2">
        <v>80.430000000000007</v>
      </c>
      <c r="J194" s="2">
        <v>462.61</v>
      </c>
      <c r="K194" s="2">
        <v>181.41</v>
      </c>
      <c r="L194" s="2">
        <v>232.79</v>
      </c>
      <c r="M194" s="2">
        <v>328.71</v>
      </c>
      <c r="N194" s="2">
        <v>1100</v>
      </c>
      <c r="O194" s="2">
        <v>1300</v>
      </c>
      <c r="P194" s="9"/>
      <c r="Q194" s="2">
        <f>SUM(OSRRefD21_19_0x)+IFERROR(SUM(OSRRefE21_19_0x),0)</f>
        <v>4835.2300000000005</v>
      </c>
    </row>
    <row r="195" spans="1:17" s="34" customFormat="1" hidden="1" outlineLevel="1" x14ac:dyDescent="0.25">
      <c r="A195" s="35"/>
      <c r="B195" s="10" t="str">
        <f>CONCATENATE("          ","6275", " - ","SUBSCRIPTIONS")</f>
        <v xml:space="preserve">          6275 - SUBSCRIPTIONS</v>
      </c>
      <c r="C195" s="11"/>
      <c r="D195" s="2">
        <v>75</v>
      </c>
      <c r="E195" s="2"/>
      <c r="F195" s="2">
        <v>75.73</v>
      </c>
      <c r="G195" s="2">
        <v>75</v>
      </c>
      <c r="H195" s="2"/>
      <c r="I195" s="2"/>
      <c r="J195" s="2">
        <v>1927.08</v>
      </c>
      <c r="K195" s="2"/>
      <c r="L195" s="2">
        <v>75</v>
      </c>
      <c r="M195" s="2">
        <v>2014.87</v>
      </c>
      <c r="N195" s="2">
        <v>0</v>
      </c>
      <c r="O195" s="2">
        <v>0</v>
      </c>
      <c r="P195" s="9"/>
      <c r="Q195" s="2">
        <f>SUM(OSRRefD21_19_1x)+IFERROR(SUM(OSRRefE21_19_1x),0)</f>
        <v>4242.68</v>
      </c>
    </row>
    <row r="196" spans="1:17" s="34" customFormat="1" collapsed="1" x14ac:dyDescent="0.25">
      <c r="A196" s="35"/>
      <c r="B196" s="11" t="str">
        <f>CONCATENATE("     ","Supplies                                          ")</f>
        <v xml:space="preserve">     Supplies                                          </v>
      </c>
      <c r="C196" s="11"/>
      <c r="D196" s="1">
        <f>SUM(OSRRefD21_20x_0)</f>
        <v>11519.92</v>
      </c>
      <c r="E196" s="1">
        <f>SUM(OSRRefD21_20x_1)</f>
        <v>8018.0199999999995</v>
      </c>
      <c r="F196" s="1">
        <f>SUM(OSRRefD21_20x_2)</f>
        <v>13852.2</v>
      </c>
      <c r="G196" s="1">
        <f>SUM(OSRRefD21_20x_3)</f>
        <v>23208.799999999996</v>
      </c>
      <c r="H196" s="1">
        <f>SUM(OSRRefD21_20x_4)</f>
        <v>14796.98</v>
      </c>
      <c r="I196" s="1">
        <f>SUM(OSRRefD21_20x_5)</f>
        <v>5930.1799999999994</v>
      </c>
      <c r="J196" s="1">
        <f>SUM(OSRRefD21_20x_6)</f>
        <v>13676.5</v>
      </c>
      <c r="K196" s="1">
        <f>SUM(OSRRefD21_20x_7)</f>
        <v>7904.01</v>
      </c>
      <c r="L196" s="1">
        <f>SUM(OSRRefD21_20x_8)</f>
        <v>4097.66</v>
      </c>
      <c r="M196" s="1">
        <f>SUM(OSRRefD21_20x_9)</f>
        <v>8692.42</v>
      </c>
      <c r="N196" s="1">
        <f>SUM(OSRRefE21_20x_0)</f>
        <v>4170</v>
      </c>
      <c r="O196" s="1">
        <f>SUM(OSRRefE21_20x_1)</f>
        <v>2970</v>
      </c>
      <c r="Q196" s="2">
        <f>SUM(OSRRefD20_20x)+IFERROR(SUM(OSRRefE20_20x),0)</f>
        <v>118836.68999999999</v>
      </c>
    </row>
    <row r="197" spans="1:17" s="34" customFormat="1" hidden="1" outlineLevel="1" x14ac:dyDescent="0.25">
      <c r="A197" s="35"/>
      <c r="B197" s="10" t="str">
        <f>CONCATENATE("          ","6234", " - ","EXPENDABLE SUPPLIES &amp; EQUIPMEN")</f>
        <v xml:space="preserve">          6234 - EXPENDABLE SUPPLIES &amp; EQUIPMEN</v>
      </c>
      <c r="C197" s="11"/>
      <c r="D197" s="2"/>
      <c r="E197" s="2"/>
      <c r="F197" s="2"/>
      <c r="G197" s="2">
        <v>101.34</v>
      </c>
      <c r="H197" s="2">
        <v>-550.67999999999995</v>
      </c>
      <c r="I197" s="2"/>
      <c r="J197" s="2">
        <v>396.5</v>
      </c>
      <c r="K197" s="2"/>
      <c r="L197" s="2"/>
      <c r="M197" s="2">
        <v>53</v>
      </c>
      <c r="N197" s="2">
        <v>100</v>
      </c>
      <c r="O197" s="2">
        <v>100</v>
      </c>
      <c r="P197" s="9"/>
      <c r="Q197" s="2">
        <f>SUM(OSRRefD21_20_0x)+IFERROR(SUM(OSRRefE21_20_0x),0)</f>
        <v>200.16000000000008</v>
      </c>
    </row>
    <row r="198" spans="1:17" s="34" customFormat="1" hidden="1" outlineLevel="1" x14ac:dyDescent="0.25">
      <c r="A198" s="35"/>
      <c r="B198" s="10" t="str">
        <f>CONCATENATE("          ","6235", " - ","COVID-19 EXPENSES")</f>
        <v xml:space="preserve">          6235 - COVID-19 EXPENSES</v>
      </c>
      <c r="C198" s="11"/>
      <c r="D198" s="2">
        <v>6012.11</v>
      </c>
      <c r="E198" s="2">
        <v>621.78</v>
      </c>
      <c r="F198" s="2">
        <v>2460.7800000000002</v>
      </c>
      <c r="G198" s="2">
        <v>16805.12</v>
      </c>
      <c r="H198" s="2">
        <v>2556.84</v>
      </c>
      <c r="I198" s="2">
        <v>2921.2</v>
      </c>
      <c r="J198" s="2">
        <v>2921.2</v>
      </c>
      <c r="K198" s="2">
        <v>2992.14</v>
      </c>
      <c r="L198" s="2">
        <v>370.83</v>
      </c>
      <c r="M198" s="2">
        <v>3407.79</v>
      </c>
      <c r="N198" s="2">
        <v>250</v>
      </c>
      <c r="O198" s="2">
        <v>250</v>
      </c>
      <c r="P198" s="9"/>
      <c r="Q198" s="2">
        <f>SUM(OSRRefD21_20_1x)+IFERROR(SUM(OSRRefE21_20_1x),0)</f>
        <v>41569.79</v>
      </c>
    </row>
    <row r="199" spans="1:17" s="34" customFormat="1" hidden="1" outlineLevel="1" x14ac:dyDescent="0.25">
      <c r="A199" s="35"/>
      <c r="B199" s="10" t="str">
        <f>CONCATENATE("          ","6237", " - ","JANITORIAL SUPPLIES")</f>
        <v xml:space="preserve">          6237 - JANITORIAL SUPPLIES</v>
      </c>
      <c r="C199" s="11"/>
      <c r="D199" s="2">
        <v>139.31</v>
      </c>
      <c r="E199" s="2"/>
      <c r="F199" s="2"/>
      <c r="G199" s="2">
        <v>1109.05</v>
      </c>
      <c r="H199" s="2">
        <v>246.99</v>
      </c>
      <c r="I199" s="2">
        <v>438.53</v>
      </c>
      <c r="J199" s="2">
        <v>329.77</v>
      </c>
      <c r="K199" s="2"/>
      <c r="L199" s="2">
        <v>637.59</v>
      </c>
      <c r="M199" s="2">
        <v>588.30999999999995</v>
      </c>
      <c r="N199" s="2">
        <v>220</v>
      </c>
      <c r="O199" s="2">
        <v>220</v>
      </c>
      <c r="P199" s="9"/>
      <c r="Q199" s="2">
        <f>SUM(OSRRefD21_20_2x)+IFERROR(SUM(OSRRefE21_20_2x),0)</f>
        <v>3929.5499999999997</v>
      </c>
    </row>
    <row r="200" spans="1:17" s="34" customFormat="1" hidden="1" outlineLevel="1" x14ac:dyDescent="0.25">
      <c r="A200" s="35"/>
      <c r="B200" s="10" t="str">
        <f>CONCATENATE("          ","6241", " - ","OFFICE EXPENSE")</f>
        <v xml:space="preserve">          6241 - OFFICE EXPENSE</v>
      </c>
      <c r="C200" s="11"/>
      <c r="D200" s="2">
        <v>430.41</v>
      </c>
      <c r="E200" s="2">
        <v>2293.5100000000002</v>
      </c>
      <c r="F200" s="2">
        <v>4755.57</v>
      </c>
      <c r="G200" s="2">
        <v>330.19</v>
      </c>
      <c r="H200" s="2">
        <v>669.18</v>
      </c>
      <c r="I200" s="2">
        <v>308.81</v>
      </c>
      <c r="J200" s="2">
        <v>444.2</v>
      </c>
      <c r="K200" s="2">
        <v>624.67999999999995</v>
      </c>
      <c r="L200" s="2">
        <v>496.61</v>
      </c>
      <c r="M200" s="2">
        <v>514.54999999999995</v>
      </c>
      <c r="N200" s="2">
        <v>350</v>
      </c>
      <c r="O200" s="2">
        <v>225</v>
      </c>
      <c r="P200" s="9"/>
      <c r="Q200" s="2">
        <f>SUM(OSRRefD21_20_3x)+IFERROR(SUM(OSRRefE21_20_3x),0)</f>
        <v>11442.71</v>
      </c>
    </row>
    <row r="201" spans="1:17" s="34" customFormat="1" hidden="1" outlineLevel="1" x14ac:dyDescent="0.25">
      <c r="A201" s="35"/>
      <c r="B201" s="10" t="str">
        <f>CONCATENATE("          ","6243", " - ","PAPER SUPPLIES")</f>
        <v xml:space="preserve">          6243 - PAPER SUPPLIES</v>
      </c>
      <c r="C201" s="11"/>
      <c r="D201" s="2">
        <v>1080</v>
      </c>
      <c r="E201" s="2">
        <v>2044.69</v>
      </c>
      <c r="F201" s="2"/>
      <c r="G201" s="2">
        <v>449.01</v>
      </c>
      <c r="H201" s="2">
        <v>1108.5999999999999</v>
      </c>
      <c r="I201" s="2">
        <v>411.1</v>
      </c>
      <c r="J201" s="2">
        <v>1080</v>
      </c>
      <c r="K201" s="2"/>
      <c r="L201" s="2">
        <v>309.25</v>
      </c>
      <c r="M201" s="2">
        <v>199.93</v>
      </c>
      <c r="N201" s="2">
        <v>750</v>
      </c>
      <c r="O201" s="2">
        <v>100</v>
      </c>
      <c r="P201" s="9"/>
      <c r="Q201" s="2">
        <f>SUM(OSRRefD21_20_4x)+IFERROR(SUM(OSRRefE21_20_4x),0)</f>
        <v>7532.58</v>
      </c>
    </row>
    <row r="202" spans="1:17" s="34" customFormat="1" hidden="1" outlineLevel="1" x14ac:dyDescent="0.25">
      <c r="A202" s="35"/>
      <c r="B202" s="10" t="str">
        <f>CONCATENATE("          ","6244", " - ","SAFETY SUPPLY EXPENSE")</f>
        <v xml:space="preserve">          6244 - SAFETY SUPPLY EXPENSE</v>
      </c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>
        <v>0</v>
      </c>
      <c r="O202" s="2">
        <v>0</v>
      </c>
      <c r="P202" s="9"/>
      <c r="Q202" s="2">
        <f>SUM(OSRRefD21_20_5x)+IFERROR(SUM(OSRRefE21_20_5x),0)</f>
        <v>0</v>
      </c>
    </row>
    <row r="203" spans="1:17" s="34" customFormat="1" hidden="1" outlineLevel="1" x14ac:dyDescent="0.25">
      <c r="A203" s="35"/>
      <c r="B203" s="10" t="str">
        <f>CONCATENATE("          ","6245", " - ","PRINTING")</f>
        <v xml:space="preserve">          6245 - PRINTING</v>
      </c>
      <c r="C203" s="11"/>
      <c r="D203" s="2">
        <v>-1543.5</v>
      </c>
      <c r="E203" s="2">
        <v>1248</v>
      </c>
      <c r="F203" s="2">
        <v>356.96</v>
      </c>
      <c r="G203" s="2">
        <v>353.09</v>
      </c>
      <c r="H203" s="2">
        <v>93.72</v>
      </c>
      <c r="I203" s="2"/>
      <c r="J203" s="2"/>
      <c r="K203" s="2">
        <v>398.67</v>
      </c>
      <c r="L203" s="2">
        <v>447.27</v>
      </c>
      <c r="M203" s="2">
        <v>1766.38</v>
      </c>
      <c r="N203" s="2">
        <v>525</v>
      </c>
      <c r="O203" s="2">
        <v>125</v>
      </c>
      <c r="P203" s="9"/>
      <c r="Q203" s="2">
        <f>SUM(OSRRefD21_20_6x)+IFERROR(SUM(OSRRefE21_20_6x),0)</f>
        <v>3770.59</v>
      </c>
    </row>
    <row r="204" spans="1:17" s="34" customFormat="1" hidden="1" outlineLevel="1" x14ac:dyDescent="0.25">
      <c r="A204" s="35"/>
      <c r="B204" s="10" t="str">
        <f>CONCATENATE("          ","6247", " - ","STORE SUPPLIES")</f>
        <v xml:space="preserve">          6247 - STORE SUPPLIES</v>
      </c>
      <c r="C204" s="11"/>
      <c r="D204" s="2">
        <v>5401.59</v>
      </c>
      <c r="E204" s="2">
        <v>1810.04</v>
      </c>
      <c r="F204" s="2">
        <v>6278.89</v>
      </c>
      <c r="G204" s="2">
        <v>4061</v>
      </c>
      <c r="H204" s="2">
        <v>10672.33</v>
      </c>
      <c r="I204" s="2">
        <v>1850.54</v>
      </c>
      <c r="J204" s="2">
        <v>8504.83</v>
      </c>
      <c r="K204" s="2">
        <v>3888.52</v>
      </c>
      <c r="L204" s="2">
        <v>1836.11</v>
      </c>
      <c r="M204" s="2">
        <v>2162.46</v>
      </c>
      <c r="N204" s="2">
        <v>975</v>
      </c>
      <c r="O204" s="2">
        <v>950</v>
      </c>
      <c r="P204" s="9"/>
      <c r="Q204" s="2">
        <f>SUM(OSRRefD21_20_7x)+IFERROR(SUM(OSRRefE21_20_7x),0)</f>
        <v>48391.31</v>
      </c>
    </row>
    <row r="205" spans="1:17" s="34" customFormat="1" hidden="1" outlineLevel="1" x14ac:dyDescent="0.25">
      <c r="A205" s="35"/>
      <c r="B205" s="10" t="str">
        <f>CONCATENATE("          ","6248", " - ","UNIFORMS")</f>
        <v xml:space="preserve">          6248 - UNIFORMS</v>
      </c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>
        <v>1000</v>
      </c>
      <c r="O205" s="2">
        <v>1000</v>
      </c>
      <c r="P205" s="9"/>
      <c r="Q205" s="2">
        <f>SUM(OSRRefD21_20_8x)+IFERROR(SUM(OSRRefE21_20_8x),0)</f>
        <v>2000</v>
      </c>
    </row>
    <row r="206" spans="1:17" s="34" customFormat="1" collapsed="1" x14ac:dyDescent="0.25">
      <c r="A206" s="35"/>
      <c r="B206" s="11" t="str">
        <f>CONCATENATE("     ","Telephone/Data Lines                              ")</f>
        <v xml:space="preserve">     Telephone/Data Lines                              </v>
      </c>
      <c r="C206" s="11"/>
      <c r="D206" s="1">
        <f>SUM(OSRRefD21_21x_0)</f>
        <v>2373.25</v>
      </c>
      <c r="E206" s="1">
        <f>SUM(OSRRefD21_21x_1)</f>
        <v>2097</v>
      </c>
      <c r="F206" s="1">
        <f>SUM(OSRRefD21_21x_2)</f>
        <v>5060.54</v>
      </c>
      <c r="G206" s="1">
        <f>SUM(OSRRefD21_21x_3)</f>
        <v>849.33</v>
      </c>
      <c r="H206" s="1">
        <f>SUM(OSRRefD21_21x_4)</f>
        <v>2676.5299999999997</v>
      </c>
      <c r="I206" s="1">
        <f>SUM(OSRRefD21_21x_5)</f>
        <v>1971.54</v>
      </c>
      <c r="J206" s="1">
        <f>SUM(OSRRefD21_21x_6)</f>
        <v>2161.81</v>
      </c>
      <c r="K206" s="1">
        <f>SUM(OSRRefD21_21x_7)</f>
        <v>1238.5999999999999</v>
      </c>
      <c r="L206" s="1">
        <f>SUM(OSRRefD21_21x_8)</f>
        <v>1440.07</v>
      </c>
      <c r="M206" s="1">
        <f>SUM(OSRRefD21_21x_9)</f>
        <v>1962.76</v>
      </c>
      <c r="N206" s="1">
        <f>SUM(OSRRefE21_21x_0)</f>
        <v>1895</v>
      </c>
      <c r="O206" s="1">
        <f>SUM(OSRRefE21_21x_1)</f>
        <v>1895</v>
      </c>
      <c r="Q206" s="2">
        <f>SUM(OSRRefD20_21x)+IFERROR(SUM(OSRRefE20_21x),0)</f>
        <v>25621.43</v>
      </c>
    </row>
    <row r="207" spans="1:17" s="34" customFormat="1" hidden="1" outlineLevel="1" x14ac:dyDescent="0.25">
      <c r="A207" s="35"/>
      <c r="B207" s="10" t="str">
        <f>CONCATENATE("          ","6303", " - ","DATA PHONE LINES")</f>
        <v xml:space="preserve">          6303 - DATA PHONE LINES</v>
      </c>
      <c r="C207" s="11"/>
      <c r="D207" s="2">
        <v>295</v>
      </c>
      <c r="E207" s="2"/>
      <c r="F207" s="2">
        <v>885</v>
      </c>
      <c r="G207" s="2"/>
      <c r="H207" s="2">
        <v>885</v>
      </c>
      <c r="I207" s="2"/>
      <c r="J207" s="2">
        <v>295</v>
      </c>
      <c r="K207" s="2">
        <v>590</v>
      </c>
      <c r="L207" s="2"/>
      <c r="M207" s="2">
        <v>590</v>
      </c>
      <c r="N207" s="2">
        <v>530</v>
      </c>
      <c r="O207" s="2">
        <v>530</v>
      </c>
      <c r="P207" s="9"/>
      <c r="Q207" s="2">
        <f>SUM(OSRRefD21_21_0x)+IFERROR(SUM(OSRRefE21_21_0x),0)</f>
        <v>4600</v>
      </c>
    </row>
    <row r="208" spans="1:17" s="34" customFormat="1" hidden="1" outlineLevel="1" x14ac:dyDescent="0.25">
      <c r="A208" s="35"/>
      <c r="B208" s="10" t="str">
        <f>CONCATENATE("          ","6309", " - ","TELEPHONE")</f>
        <v xml:space="preserve">          6309 - TELEPHONE</v>
      </c>
      <c r="C208" s="11"/>
      <c r="D208" s="2">
        <v>2078.25</v>
      </c>
      <c r="E208" s="2">
        <v>2097</v>
      </c>
      <c r="F208" s="2">
        <v>4175.54</v>
      </c>
      <c r="G208" s="2">
        <v>849.33</v>
      </c>
      <c r="H208" s="2">
        <v>1791.53</v>
      </c>
      <c r="I208" s="2">
        <v>1971.54</v>
      </c>
      <c r="J208" s="2">
        <v>1866.81</v>
      </c>
      <c r="K208" s="2">
        <v>648.6</v>
      </c>
      <c r="L208" s="2">
        <v>1440.07</v>
      </c>
      <c r="M208" s="2">
        <v>1372.76</v>
      </c>
      <c r="N208" s="2">
        <v>1365</v>
      </c>
      <c r="O208" s="2">
        <v>1365</v>
      </c>
      <c r="P208" s="9"/>
      <c r="Q208" s="2">
        <f>SUM(OSRRefD21_21_1x)+IFERROR(SUM(OSRRefE21_21_1x),0)</f>
        <v>21021.43</v>
      </c>
    </row>
    <row r="209" spans="1:17" s="34" customFormat="1" collapsed="1" x14ac:dyDescent="0.25">
      <c r="A209" s="35"/>
      <c r="B209" s="11" t="str">
        <f>CONCATENATE("     ","Training                                          ")</f>
        <v xml:space="preserve">     Training                                          </v>
      </c>
      <c r="C209" s="11"/>
      <c r="D209" s="1">
        <f>SUM(OSRRefD21_22x_0)</f>
        <v>131.63</v>
      </c>
      <c r="E209" s="1">
        <f>SUM(OSRRefD21_22x_1)</f>
        <v>0</v>
      </c>
      <c r="F209" s="1">
        <f>SUM(OSRRefD21_22x_2)</f>
        <v>0</v>
      </c>
      <c r="G209" s="1">
        <f>SUM(OSRRefD21_22x_3)</f>
        <v>14</v>
      </c>
      <c r="H209" s="1">
        <f>SUM(OSRRefD21_22x_4)</f>
        <v>0</v>
      </c>
      <c r="I209" s="1">
        <f>SUM(OSRRefD21_22x_5)</f>
        <v>0</v>
      </c>
      <c r="J209" s="1">
        <f>SUM(OSRRefD21_22x_6)</f>
        <v>0</v>
      </c>
      <c r="K209" s="1">
        <f>SUM(OSRRefD21_22x_7)</f>
        <v>750</v>
      </c>
      <c r="L209" s="1">
        <f>SUM(OSRRefD21_22x_8)</f>
        <v>0</v>
      </c>
      <c r="M209" s="1">
        <f>SUM(OSRRefD21_22x_9)</f>
        <v>0</v>
      </c>
      <c r="N209" s="1">
        <f>SUM(OSRRefE21_22x_0)</f>
        <v>0</v>
      </c>
      <c r="O209" s="1">
        <f>SUM(OSRRefE21_22x_1)</f>
        <v>0</v>
      </c>
      <c r="Q209" s="2">
        <f>SUM(OSRRefD20_22x)+IFERROR(SUM(OSRRefE20_22x),0)</f>
        <v>895.63</v>
      </c>
    </row>
    <row r="210" spans="1:17" s="34" customFormat="1" hidden="1" outlineLevel="1" x14ac:dyDescent="0.25">
      <c r="A210" s="35"/>
      <c r="B210" s="10" t="str">
        <f>CONCATENATE("          ","6376", " - ","TRAINING")</f>
        <v xml:space="preserve">          6376 - TRAINING</v>
      </c>
      <c r="C210" s="11"/>
      <c r="D210" s="2">
        <v>131.63</v>
      </c>
      <c r="E210" s="2"/>
      <c r="F210" s="2"/>
      <c r="G210" s="2">
        <v>14</v>
      </c>
      <c r="H210" s="2"/>
      <c r="I210" s="2"/>
      <c r="J210" s="2"/>
      <c r="K210" s="2">
        <v>750</v>
      </c>
      <c r="L210" s="2"/>
      <c r="M210" s="2"/>
      <c r="N210" s="2">
        <v>0</v>
      </c>
      <c r="O210" s="2">
        <v>0</v>
      </c>
      <c r="P210" s="9"/>
      <c r="Q210" s="2">
        <f>SUM(OSRRefD21_22_0x)+IFERROR(SUM(OSRRefE21_22_0x),0)</f>
        <v>895.63</v>
      </c>
    </row>
    <row r="211" spans="1:17" s="34" customFormat="1" collapsed="1" x14ac:dyDescent="0.25">
      <c r="A211" s="35"/>
      <c r="B211" s="11" t="str">
        <f>CONCATENATE("     ","Travel                                            ")</f>
        <v xml:space="preserve">     Travel                                            </v>
      </c>
      <c r="C211" s="11"/>
      <c r="D211" s="1">
        <f>SUM(OSRRefD21_23x_0)</f>
        <v>275.20999999999998</v>
      </c>
      <c r="E211" s="1">
        <f>SUM(OSRRefD21_23x_1)</f>
        <v>25.76</v>
      </c>
      <c r="F211" s="1">
        <f>SUM(OSRRefD21_23x_2)</f>
        <v>0</v>
      </c>
      <c r="G211" s="1">
        <f>SUM(OSRRefD21_23x_3)</f>
        <v>80.959999999999994</v>
      </c>
      <c r="H211" s="1">
        <f>SUM(OSRRefD21_23x_4)</f>
        <v>299</v>
      </c>
      <c r="I211" s="1">
        <f>SUM(OSRRefD21_23x_5)</f>
        <v>0</v>
      </c>
      <c r="J211" s="1">
        <f>SUM(OSRRefD21_23x_6)</f>
        <v>129.38</v>
      </c>
      <c r="K211" s="1">
        <f>SUM(OSRRefD21_23x_7)</f>
        <v>0</v>
      </c>
      <c r="L211" s="1">
        <f>SUM(OSRRefD21_23x_8)</f>
        <v>93.02</v>
      </c>
      <c r="M211" s="1">
        <f>SUM(OSRRefD21_23x_9)</f>
        <v>69.069999999999993</v>
      </c>
      <c r="N211" s="1">
        <f>SUM(OSRRefE21_23x_0)</f>
        <v>25</v>
      </c>
      <c r="O211" s="1">
        <f>SUM(OSRRefE21_23x_1)</f>
        <v>25</v>
      </c>
      <c r="Q211" s="2">
        <f>SUM(OSRRefD20_23x)+IFERROR(SUM(OSRRefE20_23x),0)</f>
        <v>1022.3999999999999</v>
      </c>
    </row>
    <row r="212" spans="1:17" s="34" customFormat="1" hidden="1" outlineLevel="1" x14ac:dyDescent="0.25">
      <c r="A212" s="35"/>
      <c r="B212" s="10" t="str">
        <f>CONCATENATE("          ","6292", " - ","TRAVEL/CONFERENCE")</f>
        <v xml:space="preserve">          6292 - TRAVEL/CONFERENCE</v>
      </c>
      <c r="C212" s="11"/>
      <c r="D212" s="2">
        <v>0.16</v>
      </c>
      <c r="E212" s="2"/>
      <c r="F212" s="2"/>
      <c r="G212" s="2"/>
      <c r="H212" s="2">
        <v>299</v>
      </c>
      <c r="I212" s="2"/>
      <c r="J212" s="2"/>
      <c r="K212" s="2"/>
      <c r="L212" s="2"/>
      <c r="M212" s="2"/>
      <c r="N212" s="2"/>
      <c r="O212" s="2"/>
      <c r="P212" s="9"/>
      <c r="Q212" s="2">
        <f>SUM(OSRRefD21_23_0x)+IFERROR(SUM(OSRRefE21_23_0x),0)</f>
        <v>299.16000000000003</v>
      </c>
    </row>
    <row r="213" spans="1:17" s="34" customFormat="1" hidden="1" outlineLevel="1" x14ac:dyDescent="0.25">
      <c r="A213" s="35"/>
      <c r="B213" s="10" t="str">
        <f>CONCATENATE("          ","6294", " - ","TRAVEL OPERATIONAL")</f>
        <v xml:space="preserve">          6294 - TRAVEL OPERATIONAL</v>
      </c>
      <c r="C213" s="11"/>
      <c r="D213" s="2">
        <v>215.16</v>
      </c>
      <c r="E213" s="2">
        <v>25.76</v>
      </c>
      <c r="F213" s="2"/>
      <c r="G213" s="2">
        <v>80.959999999999994</v>
      </c>
      <c r="H213" s="2"/>
      <c r="I213" s="2"/>
      <c r="J213" s="2">
        <v>129.38</v>
      </c>
      <c r="K213" s="2"/>
      <c r="L213" s="2">
        <v>93.02</v>
      </c>
      <c r="M213" s="2">
        <v>69.069999999999993</v>
      </c>
      <c r="N213" s="2">
        <v>0</v>
      </c>
      <c r="O213" s="2">
        <v>0</v>
      </c>
      <c r="P213" s="9"/>
      <c r="Q213" s="2">
        <f>SUM(OSRRefD21_23_1x)+IFERROR(SUM(OSRRefE21_23_1x),0)</f>
        <v>613.34999999999991</v>
      </c>
    </row>
    <row r="214" spans="1:17" s="34" customFormat="1" hidden="1" outlineLevel="1" x14ac:dyDescent="0.25">
      <c r="A214" s="35"/>
      <c r="B214" s="10" t="str">
        <f>CONCATENATE("          ","6298", " - ","VEHICLE MILEAGE")</f>
        <v xml:space="preserve">          6298 - VEHICLE MILEAGE</v>
      </c>
      <c r="C214" s="11"/>
      <c r="D214" s="2">
        <v>59.89</v>
      </c>
      <c r="E214" s="2"/>
      <c r="F214" s="2"/>
      <c r="G214" s="2"/>
      <c r="H214" s="2"/>
      <c r="I214" s="2"/>
      <c r="J214" s="2"/>
      <c r="K214" s="2"/>
      <c r="L214" s="2"/>
      <c r="M214" s="2"/>
      <c r="N214" s="2">
        <v>25</v>
      </c>
      <c r="O214" s="2">
        <v>25</v>
      </c>
      <c r="P214" s="9"/>
      <c r="Q214" s="2">
        <f>SUM(OSRRefD21_23_2x)+IFERROR(SUM(OSRRefE21_23_2x),0)</f>
        <v>109.89</v>
      </c>
    </row>
    <row r="215" spans="1:17" s="34" customFormat="1" collapsed="1" x14ac:dyDescent="0.25">
      <c r="A215" s="35"/>
      <c r="B215" s="11" t="str">
        <f>CONCATENATE("     ","Utilities                                         ")</f>
        <v xml:space="preserve">     Utilities                                         </v>
      </c>
      <c r="C215" s="11"/>
      <c r="D215" s="1">
        <f>SUM(OSRRefD21_24x_0)</f>
        <v>6161.46</v>
      </c>
      <c r="E215" s="1">
        <f>SUM(OSRRefD21_24x_1)</f>
        <v>6159.91</v>
      </c>
      <c r="F215" s="1">
        <f>SUM(OSRRefD21_24x_2)</f>
        <v>6161.01</v>
      </c>
      <c r="G215" s="1">
        <f>SUM(OSRRefD21_24x_3)</f>
        <v>5953.05</v>
      </c>
      <c r="H215" s="1">
        <f>SUM(OSRRefD21_24x_4)</f>
        <v>6150.38</v>
      </c>
      <c r="I215" s="1">
        <f>SUM(OSRRefD21_24x_5)</f>
        <v>6175.61</v>
      </c>
      <c r="J215" s="1">
        <f>SUM(OSRRefD21_24x_6)</f>
        <v>6165.61</v>
      </c>
      <c r="K215" s="1">
        <f>SUM(OSRRefD21_24x_7)</f>
        <v>6161.14</v>
      </c>
      <c r="L215" s="1">
        <f>SUM(OSRRefD21_24x_8)</f>
        <v>3429.45</v>
      </c>
      <c r="M215" s="1">
        <f>SUM(OSRRefD21_24x_9)</f>
        <v>6161.93</v>
      </c>
      <c r="N215" s="1">
        <f>SUM(OSRRefE21_24x_0)</f>
        <v>6105</v>
      </c>
      <c r="O215" s="1">
        <f>SUM(OSRRefE21_24x_1)</f>
        <v>6105</v>
      </c>
      <c r="Q215" s="2">
        <f>SUM(OSRRefD20_24x)+IFERROR(SUM(OSRRefE20_24x),0)</f>
        <v>70889.549999999988</v>
      </c>
    </row>
    <row r="216" spans="1:17" s="34" customFormat="1" hidden="1" outlineLevel="1" x14ac:dyDescent="0.25">
      <c r="A216" s="35"/>
      <c r="B216" s="10" t="str">
        <f>CONCATENATE("          ","6274", " - ","UTILITIES")</f>
        <v xml:space="preserve">          6274 - UTILITIES</v>
      </c>
      <c r="C216" s="11"/>
      <c r="D216" s="2">
        <v>6161.46</v>
      </c>
      <c r="E216" s="2">
        <v>6159.91</v>
      </c>
      <c r="F216" s="2">
        <v>6161.01</v>
      </c>
      <c r="G216" s="2">
        <v>5953.05</v>
      </c>
      <c r="H216" s="2">
        <v>6150.38</v>
      </c>
      <c r="I216" s="2">
        <v>6175.61</v>
      </c>
      <c r="J216" s="2">
        <v>6165.61</v>
      </c>
      <c r="K216" s="2">
        <v>6161.14</v>
      </c>
      <c r="L216" s="2">
        <v>3429.45</v>
      </c>
      <c r="M216" s="2">
        <v>6161.93</v>
      </c>
      <c r="N216" s="2">
        <v>6105</v>
      </c>
      <c r="O216" s="2">
        <v>6105</v>
      </c>
      <c r="P216" s="9"/>
      <c r="Q216" s="2">
        <f>SUM(OSRRefD21_24_0x)+IFERROR(SUM(OSRRefE21_24_0x),0)</f>
        <v>70889.549999999988</v>
      </c>
    </row>
    <row r="217" spans="1:17" s="30" customFormat="1" x14ac:dyDescent="0.25">
      <c r="A217" s="21"/>
      <c r="B217" s="21"/>
      <c r="C217" s="2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Q217" s="1"/>
    </row>
    <row r="218" spans="1:17" s="9" customFormat="1" x14ac:dyDescent="0.25">
      <c r="A218" s="23"/>
      <c r="B218" s="16" t="s">
        <v>291</v>
      </c>
      <c r="C218" s="22"/>
      <c r="D218" s="3">
        <f>--197872.55</f>
        <v>197872.55</v>
      </c>
      <c r="E218" s="3">
        <f>--56868.1</f>
        <v>56868.1</v>
      </c>
      <c r="F218" s="3">
        <f>--166664.99</f>
        <v>166664.99</v>
      </c>
      <c r="G218" s="3">
        <f>--30589.78</f>
        <v>30589.78</v>
      </c>
      <c r="H218" s="3">
        <f>--72384.83</f>
        <v>72384.83</v>
      </c>
      <c r="I218" s="3">
        <f>--20009.02</f>
        <v>20009.02</v>
      </c>
      <c r="J218" s="3">
        <f>--31989.34</f>
        <v>31989.34</v>
      </c>
      <c r="K218" s="3">
        <f>--196876.8</f>
        <v>196876.79999999999</v>
      </c>
      <c r="L218" s="3">
        <f>--189046.82</f>
        <v>189046.82</v>
      </c>
      <c r="M218" s="3">
        <f>--30690.94</f>
        <v>30690.94</v>
      </c>
      <c r="N218" s="3">
        <v>6550</v>
      </c>
      <c r="O218" s="3">
        <v>220370</v>
      </c>
      <c r="Q218" s="2">
        <f>SUM(OSRRefD23_0x)+IFERROR(SUM(OSRRefE23_0x),0)</f>
        <v>1219913.17</v>
      </c>
    </row>
    <row r="219" spans="1:17" x14ac:dyDescent="0.25">
      <c r="A219" s="5"/>
      <c r="B219" s="6"/>
      <c r="C219" s="6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5" customFormat="1" x14ac:dyDescent="0.25">
      <c r="A220" s="6"/>
      <c r="B220" s="17" t="s">
        <v>274</v>
      </c>
      <c r="C220" s="17"/>
      <c r="D220" s="8">
        <f t="shared" ref="D220:O220" si="38">IFERROR(+D118-D121+D218, 0)</f>
        <v>-34456.270000000135</v>
      </c>
      <c r="E220" s="8">
        <f t="shared" si="38"/>
        <v>348646.25000000006</v>
      </c>
      <c r="F220" s="8">
        <f t="shared" si="38"/>
        <v>44869.319999999949</v>
      </c>
      <c r="G220" s="8">
        <f t="shared" si="38"/>
        <v>-216724.67999999991</v>
      </c>
      <c r="H220" s="8">
        <f t="shared" si="38"/>
        <v>-113545.33000000003</v>
      </c>
      <c r="I220" s="8">
        <f t="shared" si="38"/>
        <v>-127833.96000000006</v>
      </c>
      <c r="J220" s="8">
        <f t="shared" si="38"/>
        <v>140249.45999999988</v>
      </c>
      <c r="K220" s="8">
        <f t="shared" si="38"/>
        <v>33727.47000000003</v>
      </c>
      <c r="L220" s="8">
        <f t="shared" si="38"/>
        <v>47812.380000000063</v>
      </c>
      <c r="M220" s="8">
        <f t="shared" si="38"/>
        <v>-9601.4499999998989</v>
      </c>
      <c r="N220" s="8">
        <f t="shared" si="38"/>
        <v>-141822.49952548277</v>
      </c>
      <c r="O220" s="8">
        <f t="shared" si="38"/>
        <v>52764.86518945478</v>
      </c>
      <c r="Q220" s="8">
        <f>IFERROR(+Q118-Q121+Q218, 0)</f>
        <v>24085.555663970765</v>
      </c>
    </row>
    <row r="221" spans="1:17" s="6" customFormat="1" x14ac:dyDescent="0.25">
      <c r="B221" s="16"/>
      <c r="C221" s="16"/>
      <c r="D221" s="4">
        <f t="shared" ref="D221:O221" si="39">IFERROR(D220/D10, 0)</f>
        <v>-0.15134486844287065</v>
      </c>
      <c r="E221" s="4">
        <f t="shared" si="39"/>
        <v>0.21830106273782054</v>
      </c>
      <c r="F221" s="4">
        <f t="shared" si="39"/>
        <v>0.12154935269722142</v>
      </c>
      <c r="G221" s="4">
        <f t="shared" si="39"/>
        <v>-1.353606851531109</v>
      </c>
      <c r="H221" s="4">
        <f t="shared" si="39"/>
        <v>-1.0231829173059381</v>
      </c>
      <c r="I221" s="4">
        <f t="shared" si="39"/>
        <v>-0.54716007337016825</v>
      </c>
      <c r="J221" s="4">
        <f t="shared" si="39"/>
        <v>0.11897407256978096</v>
      </c>
      <c r="K221" s="4">
        <f t="shared" si="39"/>
        <v>0.16627610460749526</v>
      </c>
      <c r="L221" s="4">
        <f t="shared" si="39"/>
        <v>0.25999872644487221</v>
      </c>
      <c r="M221" s="4">
        <f t="shared" si="39"/>
        <v>-2.1897810551923483E-2</v>
      </c>
      <c r="N221" s="4">
        <f t="shared" si="39"/>
        <v>-0.54752119773645846</v>
      </c>
      <c r="O221" s="4">
        <f t="shared" si="39"/>
        <v>0.27915421948754204</v>
      </c>
      <c r="P221" s="18"/>
      <c r="Q221" s="4">
        <f>IFERROR(Q220/Q10, 0)</f>
        <v>4.6761869262162744E-3</v>
      </c>
    </row>
    <row r="222" spans="1:17" x14ac:dyDescent="0.25">
      <c r="A222" s="5"/>
      <c r="B222" s="6"/>
      <c r="C222" s="5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Q222" s="3"/>
    </row>
    <row r="223" spans="1:17" s="15" customFormat="1" x14ac:dyDescent="0.25">
      <c r="A223" s="25"/>
      <c r="B223" s="6" t="s">
        <v>125</v>
      </c>
      <c r="C223" s="6"/>
      <c r="D223" s="3">
        <v>114653.25</v>
      </c>
      <c r="E223" s="3">
        <v>193432.62</v>
      </c>
      <c r="F223" s="3">
        <v>98345.279999999999</v>
      </c>
      <c r="G223" s="3">
        <v>103498.17</v>
      </c>
      <c r="H223" s="3">
        <v>-118249.83</v>
      </c>
      <c r="I223" s="3">
        <v>107621.36</v>
      </c>
      <c r="J223" s="3">
        <v>204556.79999999999</v>
      </c>
      <c r="K223" s="3">
        <v>104183.44</v>
      </c>
      <c r="L223" s="3">
        <v>70768.800000000003</v>
      </c>
      <c r="M223" s="3">
        <v>105001.36</v>
      </c>
      <c r="N223" s="3">
        <v>131991</v>
      </c>
      <c r="O223" s="3">
        <v>97976</v>
      </c>
      <c r="Q223" s="2">
        <f>SUM(OSRRefD28_0x)+IFERROR(SUM(OSRRefE28_0x),0)</f>
        <v>1213778.25</v>
      </c>
    </row>
    <row r="224" spans="1:17" x14ac:dyDescent="0.25">
      <c r="A224" s="5"/>
      <c r="B224" s="6"/>
      <c r="C224" s="6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</row>
    <row r="225" spans="1:17" s="15" customFormat="1" ht="15.75" thickBot="1" x14ac:dyDescent="0.3">
      <c r="A225" s="6"/>
      <c r="B225" s="17" t="s">
        <v>124</v>
      </c>
      <c r="C225" s="17"/>
      <c r="D225" s="7">
        <f t="shared" ref="D225:O225" si="40">IFERROR(+D220-D223, 0)</f>
        <v>-149109.52000000014</v>
      </c>
      <c r="E225" s="7">
        <f t="shared" si="40"/>
        <v>155213.63000000006</v>
      </c>
      <c r="F225" s="7">
        <f t="shared" si="40"/>
        <v>-53475.96000000005</v>
      </c>
      <c r="G225" s="7">
        <f t="shared" si="40"/>
        <v>-320222.84999999992</v>
      </c>
      <c r="H225" s="7">
        <f t="shared" si="40"/>
        <v>4704.4999999999709</v>
      </c>
      <c r="I225" s="7">
        <f t="shared" si="40"/>
        <v>-235455.32000000007</v>
      </c>
      <c r="J225" s="7">
        <f t="shared" si="40"/>
        <v>-64307.340000000113</v>
      </c>
      <c r="K225" s="7">
        <f t="shared" si="40"/>
        <v>-70455.969999999972</v>
      </c>
      <c r="L225" s="7">
        <f t="shared" si="40"/>
        <v>-22956.41999999994</v>
      </c>
      <c r="M225" s="7">
        <f t="shared" si="40"/>
        <v>-114602.8099999999</v>
      </c>
      <c r="N225" s="7">
        <f t="shared" si="40"/>
        <v>-273813.49952548277</v>
      </c>
      <c r="O225" s="7">
        <f t="shared" si="40"/>
        <v>-45211.13481054522</v>
      </c>
      <c r="Q225" s="7">
        <f>IFERROR(+Q220-Q223, 0)</f>
        <v>-1189692.6943360292</v>
      </c>
    </row>
    <row r="226" spans="1:17" ht="15.75" thickTop="1" x14ac:dyDescent="0.25">
      <c r="A226" s="5"/>
      <c r="B226" s="5"/>
      <c r="C226" s="5"/>
      <c r="D226" s="4">
        <f t="shared" ref="D226:O226" si="41">IFERROR(D225/D10, 0)</f>
        <v>-0.6549449690282646</v>
      </c>
      <c r="E226" s="4">
        <f t="shared" si="41"/>
        <v>9.7185328625777195E-2</v>
      </c>
      <c r="F226" s="4">
        <f t="shared" si="41"/>
        <v>-0.14486442680349329</v>
      </c>
      <c r="G226" s="4">
        <f t="shared" si="41"/>
        <v>-2.0000299171133564</v>
      </c>
      <c r="H226" s="4">
        <f t="shared" si="41"/>
        <v>4.2393324626083306E-2</v>
      </c>
      <c r="I226" s="4">
        <f t="shared" si="41"/>
        <v>-1.0078053606928583</v>
      </c>
      <c r="J226" s="4">
        <f t="shared" si="41"/>
        <v>-5.4552125447966775E-2</v>
      </c>
      <c r="K226" s="4">
        <f t="shared" si="41"/>
        <v>-0.34734725841999214</v>
      </c>
      <c r="L226" s="4">
        <f t="shared" si="41"/>
        <v>-0.12483461320548296</v>
      </c>
      <c r="M226" s="4">
        <f t="shared" si="41"/>
        <v>-0.26137204506591255</v>
      </c>
      <c r="N226" s="4">
        <f t="shared" si="41"/>
        <v>-1.0570868213309557</v>
      </c>
      <c r="O226" s="4">
        <f t="shared" si="41"/>
        <v>-0.23919096551972455</v>
      </c>
      <c r="P226" s="18"/>
      <c r="Q226" s="4">
        <f>IFERROR(Q225/Q10, 0)</f>
        <v>-0.23097766566337113</v>
      </c>
    </row>
    <row r="227" spans="1:17" x14ac:dyDescent="0.25">
      <c r="A227" s="5"/>
      <c r="B227" s="5"/>
      <c r="C227" s="5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Q227" s="3"/>
    </row>
    <row r="228" spans="1:17" x14ac:dyDescent="0.25">
      <c r="A228" s="5"/>
      <c r="B228" s="5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5" customFormat="1" ht="15.75" thickBot="1" x14ac:dyDescent="0.3">
      <c r="A229" s="6"/>
      <c r="B229" s="17" t="s">
        <v>292</v>
      </c>
      <c r="C229" s="17"/>
      <c r="D229" s="7">
        <f t="shared" ref="D229:O229" si="42">IFERROR(SUM(D225:D228), 0)</f>
        <v>-149110.17494496916</v>
      </c>
      <c r="E229" s="7">
        <f t="shared" si="42"/>
        <v>155213.72718532869</v>
      </c>
      <c r="F229" s="7">
        <f t="shared" si="42"/>
        <v>-53476.104864426852</v>
      </c>
      <c r="G229" s="7">
        <f t="shared" si="42"/>
        <v>-320224.85002991703</v>
      </c>
      <c r="H229" s="7">
        <f t="shared" si="42"/>
        <v>4704.5423933245966</v>
      </c>
      <c r="I229" s="7">
        <f t="shared" si="42"/>
        <v>-235456.32780536075</v>
      </c>
      <c r="J229" s="7">
        <f t="shared" si="42"/>
        <v>-64307.394552125559</v>
      </c>
      <c r="K229" s="7">
        <f t="shared" si="42"/>
        <v>-70456.317347258388</v>
      </c>
      <c r="L229" s="7">
        <f t="shared" si="42"/>
        <v>-22956.544834613145</v>
      </c>
      <c r="M229" s="7">
        <f t="shared" si="42"/>
        <v>-114603.07137204496</v>
      </c>
      <c r="N229" s="7">
        <f t="shared" si="42"/>
        <v>-273814.55661230412</v>
      </c>
      <c r="O229" s="7">
        <f t="shared" si="42"/>
        <v>-45211.37400151074</v>
      </c>
      <c r="Q229" s="7">
        <f>IFERROR(SUM(Q225:Q228), 0)</f>
        <v>-1189692.9253136949</v>
      </c>
    </row>
    <row r="230" spans="1:17" ht="15.75" thickTop="1" x14ac:dyDescent="0.25">
      <c r="A230" s="5"/>
      <c r="C230" s="5"/>
      <c r="D230" s="4">
        <f t="shared" ref="D230:O230" si="43">IFERROR(D229/D10, 0)</f>
        <v>-0.65494784579235354</v>
      </c>
      <c r="E230" s="4">
        <f t="shared" si="43"/>
        <v>9.7185389477315184E-2</v>
      </c>
      <c r="F230" s="4">
        <f t="shared" si="43"/>
        <v>-0.14486481923594619</v>
      </c>
      <c r="G230" s="4">
        <f t="shared" si="43"/>
        <v>-2.0000424087880426</v>
      </c>
      <c r="H230" s="4">
        <f t="shared" si="43"/>
        <v>4.2393706642019711E-2</v>
      </c>
      <c r="I230" s="4">
        <f t="shared" si="43"/>
        <v>-1.0078096743420255</v>
      </c>
      <c r="J230" s="4">
        <f t="shared" si="43"/>
        <v>-5.4552171724712023E-2</v>
      </c>
      <c r="K230" s="4">
        <f t="shared" si="43"/>
        <v>-0.34734897083865485</v>
      </c>
      <c r="L230" s="4">
        <f t="shared" si="43"/>
        <v>-0.1248352920430654</v>
      </c>
      <c r="M230" s="4">
        <f t="shared" si="43"/>
        <v>-0.26137264117124315</v>
      </c>
      <c r="N230" s="4">
        <f t="shared" si="43"/>
        <v>-1.0570909023297004</v>
      </c>
      <c r="O230" s="4">
        <f t="shared" si="43"/>
        <v>-0.23919223096723488</v>
      </c>
      <c r="P230" s="18"/>
      <c r="Q230" s="4">
        <f>IFERROR(Q229/Q10, 0)</f>
        <v>-0.23097771050745758</v>
      </c>
    </row>
    <row r="231" spans="1:17" x14ac:dyDescent="0.25">
      <c r="A231" s="5"/>
      <c r="B231" s="27">
        <v>44330.012671990742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Q231" s="13"/>
    </row>
    <row r="232" spans="1:17" x14ac:dyDescent="0.25">
      <c r="A232" s="5"/>
      <c r="B232" s="31" t="s">
        <v>54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Q232" s="13"/>
    </row>
    <row r="233" spans="1:17" x14ac:dyDescent="0.25">
      <c r="A233" s="5"/>
      <c r="B233" s="26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Q233" s="13"/>
    </row>
    <row r="234" spans="1:17" x14ac:dyDescent="0.25"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Q23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136</v>
      </c>
    </row>
    <row r="4" spans="1:8" x14ac:dyDescent="0.25">
      <c r="B4" s="33" t="s">
        <v>199</v>
      </c>
    </row>
    <row r="5" spans="1:8" ht="15" customHeight="1" x14ac:dyDescent="0.25">
      <c r="A5" s="15"/>
      <c r="B5" s="15" t="s">
        <v>310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5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311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SUM(OSRRefD11x_7)</f>
        <v>388775.0199999999</v>
      </c>
      <c r="L10" s="3">
        <f>SUM(OSRRefD11x_8)</f>
        <v>612979.92999999993</v>
      </c>
      <c r="M10" s="3">
        <f>SUM(OSRRefD11x_9)</f>
        <v>841693.65</v>
      </c>
      <c r="N10" s="3">
        <f>SUM(OSRRefE11x_0)</f>
        <v>351439.5</v>
      </c>
      <c r="O10" s="3">
        <f>SUM(OSRRefE11x_1)</f>
        <v>459051.9</v>
      </c>
      <c r="P10" s="24"/>
      <c r="Q10" s="3">
        <f>SUM(OSRRefG11x)</f>
        <v>7935914.719999996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v>340909.5</v>
      </c>
      <c r="O11" s="2">
        <v>428667.9</v>
      </c>
      <c r="Q11" s="2">
        <f>SUM(OSRRefD11_0x)+IFERROR(SUM(OSRRefE11_0x),0)</f>
        <v>633574.10000000009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/>
      <c r="O12" s="2"/>
      <c r="Q12" s="2">
        <f>SUM(OSRRefD11_1x)+IFERROR(SUM(OSRRefE11_1x),0)</f>
        <v>1263810.3599999999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/>
      <c r="O13" s="2"/>
      <c r="Q13" s="2">
        <f>SUM(OSRRefD11_2x)+IFERROR(SUM(OSRRefE11_2x),0)</f>
        <v>578768.63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","4026", " - ","TAXABLE SALES-WRITING INSTRUME")</f>
        <v xml:space="preserve">          4026 - TAXABLE SALES-WRITING INSTRUME</v>
      </c>
      <c r="C19" s="22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/>
      <c r="O19" s="2"/>
      <c r="Q19" s="2">
        <f>SUM(OSRRefD11_8x)+IFERROR(SUM(OSRRefE11_8x),0)</f>
        <v>486.17</v>
      </c>
    </row>
    <row r="20" spans="1:17" s="9" customFormat="1" hidden="1" outlineLevel="1" x14ac:dyDescent="0.25">
      <c r="A20" s="23"/>
      <c r="B20" s="10" t="str">
        <f>CONCATENATE("          ","4027", " - ","TAXABLE SALES-SCHOOL SUPPLIES")</f>
        <v xml:space="preserve">          4027 - TAXABLE SALES-SCHOOL SUPPLIES</v>
      </c>
      <c r="C20" s="22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/>
      <c r="O20" s="2"/>
      <c r="Q20" s="2">
        <f>SUM(OSRRefD11_9x)+IFERROR(SUM(OSRRefE11_9x),0)</f>
        <v>64070.97</v>
      </c>
    </row>
    <row r="21" spans="1:17" s="9" customFormat="1" hidden="1" outlineLevel="1" x14ac:dyDescent="0.25">
      <c r="A21" s="23"/>
      <c r="B21" s="10" t="str">
        <f>CONCATENATE("          ","4028", " - ","TAXABLE SALES-ART/TECH")</f>
        <v xml:space="preserve">          4028 - TAXABLE SALES-ART/TECH</v>
      </c>
      <c r="C21" s="22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/>
      <c r="O21" s="2"/>
      <c r="Q21" s="2">
        <f>SUM(OSRRefD11_10x)+IFERROR(SUM(OSRRefE11_10x),0)</f>
        <v>46900.170000000006</v>
      </c>
    </row>
    <row r="22" spans="1:17" s="9" customFormat="1" hidden="1" outlineLevel="1" x14ac:dyDescent="0.25">
      <c r="A22" s="23"/>
      <c r="B22" s="10" t="str">
        <f>CONCATENATE("          ","4031", " - ","TAXABLE SALES-FOOD")</f>
        <v xml:space="preserve">          4031 - TAXABLE SALES-FOOD</v>
      </c>
      <c r="C22" s="22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/>
      <c r="O22" s="2"/>
      <c r="Q22" s="2">
        <f>SUM(OSRRefD11_11x)+IFERROR(SUM(OSRRefE11_11x),0)</f>
        <v>4210.59</v>
      </c>
    </row>
    <row r="23" spans="1:17" s="9" customFormat="1" hidden="1" outlineLevel="1" x14ac:dyDescent="0.25">
      <c r="A23" s="23"/>
      <c r="B23" s="10" t="str">
        <f>CONCATENATE("          ","4034", " - ","TAXABLE SALES-SODA")</f>
        <v xml:space="preserve">          4034 - TAXABLE SALES-SODA</v>
      </c>
      <c r="C23" s="22"/>
      <c r="D23" s="2">
        <f>--6.78</f>
        <v>6.78</v>
      </c>
      <c r="E23" s="2">
        <f t="shared" ref="E23:M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3"/>
      <c r="B24" s="10" t="str">
        <f>CONCATENATE("          ","4040", " - ","TAXABLE SALES-LOGO CLOTHING")</f>
        <v xml:space="preserve">          4040 - TAXABLE SALES-LOGO CLOTHING</v>
      </c>
      <c r="C24" s="22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/>
      <c r="O24" s="2"/>
      <c r="Q24" s="2">
        <f>SUM(OSRRefD11_13x)+IFERROR(SUM(OSRRefE11_13x),0)</f>
        <v>913180.72999999986</v>
      </c>
    </row>
    <row r="25" spans="1:17" s="9" customFormat="1" hidden="1" outlineLevel="1" x14ac:dyDescent="0.25">
      <c r="A25" s="23"/>
      <c r="B25" s="10" t="str">
        <f>CONCATENATE("          ","4041", " - ","TAXABLE SALES-LOGO GIFTS")</f>
        <v xml:space="preserve">          4041 - TAXABLE SALES-LOGO GIFTS</v>
      </c>
      <c r="C25" s="22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/>
      <c r="O25" s="2"/>
      <c r="Q25" s="2">
        <f>SUM(OSRRefD11_14x)+IFERROR(SUM(OSRRefE11_14x),0)</f>
        <v>440456.98000000004</v>
      </c>
    </row>
    <row r="26" spans="1:17" s="9" customFormat="1" hidden="1" outlineLevel="1" x14ac:dyDescent="0.25">
      <c r="A26" s="23"/>
      <c r="B26" s="10" t="str">
        <f>CONCATENATE("          ","4042", " - ","TAXABLE SALES-EVERYDAY GIFTS")</f>
        <v xml:space="preserve">          4042 - TAXABLE SALES-EVERYDAY GIFTS</v>
      </c>
      <c r="C26" s="22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/>
      <c r="O26" s="2"/>
      <c r="Q26" s="2">
        <f>SUM(OSRRefD11_15x)+IFERROR(SUM(OSRRefE11_15x),0)</f>
        <v>100678.51999999999</v>
      </c>
    </row>
    <row r="27" spans="1:17" s="9" customFormat="1" hidden="1" outlineLevel="1" x14ac:dyDescent="0.25">
      <c r="A27" s="23"/>
      <c r="B27" s="10" t="str">
        <f>CONCATENATE("          ","4043", " - ","TAXABLE SALES-CARDS")</f>
        <v xml:space="preserve">          4043 - TAXABLE SALES-CARDS</v>
      </c>
      <c r="C27" s="22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/>
      <c r="O27" s="2"/>
      <c r="Q27" s="2">
        <f>SUM(OSRRefD11_16x)+IFERROR(SUM(OSRRefE11_16x),0)</f>
        <v>136859.38</v>
      </c>
    </row>
    <row r="28" spans="1:17" s="9" customFormat="1" hidden="1" outlineLevel="1" x14ac:dyDescent="0.25">
      <c r="A28" s="23"/>
      <c r="B28" s="10" t="str">
        <f>CONCATENATE("          ","4044", " - ","TAXABLE SALES-ACCESSORIES")</f>
        <v xml:space="preserve">          4044 - TAXABLE SALES-ACCESSORIES</v>
      </c>
      <c r="C28" s="22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/>
      <c r="O28" s="2"/>
      <c r="Q28" s="2">
        <f>SUM(OSRRefD11_17x)+IFERROR(SUM(OSRRefE11_17x),0)</f>
        <v>36092.229999999996</v>
      </c>
    </row>
    <row r="29" spans="1:17" s="9" customFormat="1" hidden="1" outlineLevel="1" x14ac:dyDescent="0.25">
      <c r="A29" s="23"/>
      <c r="B29" s="10" t="str">
        <f>CONCATENATE("          ","4045", " - ","TAXABLE SALES-SPECIAL ORDERS")</f>
        <v xml:space="preserve">          4045 - TAXABLE SALES-SPECIAL ORDERS</v>
      </c>
      <c r="C29" s="22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/>
      <c r="O29" s="2"/>
      <c r="Q29" s="2">
        <f>SUM(OSRRefD11_18x)+IFERROR(SUM(OSRRefE11_18x),0)</f>
        <v>207242.34</v>
      </c>
    </row>
    <row r="30" spans="1:17" s="9" customFormat="1" hidden="1" outlineLevel="1" x14ac:dyDescent="0.25">
      <c r="A30" s="23"/>
      <c r="B30" s="10" t="str">
        <f>CONCATENATE("          ","4081", " - ","TAXABLE SALES-ELECTRONICS")</f>
        <v xml:space="preserve">          4081 - TAXABLE SALES-ELECTRONICS</v>
      </c>
      <c r="C30" s="22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>
        <f>--64.79</f>
        <v>64.790000000000006</v>
      </c>
      <c r="L30" s="2">
        <f>--1204.4</f>
        <v>1204.4000000000001</v>
      </c>
      <c r="M30" s="2">
        <f>--1628.82</f>
        <v>1628.82</v>
      </c>
      <c r="N30" s="2"/>
      <c r="O30" s="2"/>
      <c r="Q30" s="2">
        <f>SUM(OSRRefD11_19x)+IFERROR(SUM(OSRRefE11_19x),0)</f>
        <v>62168.020000000004</v>
      </c>
    </row>
    <row r="31" spans="1:17" s="9" customFormat="1" hidden="1" outlineLevel="1" x14ac:dyDescent="0.25">
      <c r="A31" s="23"/>
      <c r="B31" s="10" t="str">
        <f>CONCATENATE("          ","4082", " - ","TAXABLE SALES-COMPUTER HARDWAR")</f>
        <v xml:space="preserve">          4082 - TAXABLE SALES-COMPUTER HARDWAR</v>
      </c>
      <c r="C31" s="22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>
        <f>--165815.3</f>
        <v>165815.29999999999</v>
      </c>
      <c r="L31" s="2">
        <f>--407027.89</f>
        <v>407027.89</v>
      </c>
      <c r="M31" s="2">
        <f>--354181.27</f>
        <v>354181.27</v>
      </c>
      <c r="N31" s="2"/>
      <c r="O31" s="2"/>
      <c r="Q31" s="2">
        <f>SUM(OSRRefD11_20x)+IFERROR(SUM(OSRRefE11_20x),0)</f>
        <v>2012047.63</v>
      </c>
    </row>
    <row r="32" spans="1:17" s="9" customFormat="1" hidden="1" outlineLevel="1" x14ac:dyDescent="0.25">
      <c r="A32" s="23"/>
      <c r="B32" s="10" t="str">
        <f>CONCATENATE("          ","4083", " - ","TAXABLE SALES-COMPUTER EQUIPME")</f>
        <v xml:space="preserve">          4083 - TAXABLE SALES-COMPUTER EQUIPME</v>
      </c>
      <c r="C32" s="22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>
        <f>--3521.24</f>
        <v>3521.24</v>
      </c>
      <c r="L32" s="2">
        <f>--22860.44</f>
        <v>22860.44</v>
      </c>
      <c r="M32" s="2">
        <f>--7273.67</f>
        <v>7273.67</v>
      </c>
      <c r="N32" s="2"/>
      <c r="O32" s="2"/>
      <c r="Q32" s="2">
        <f>SUM(OSRRefD11_21x)+IFERROR(SUM(OSRRefE11_21x),0)</f>
        <v>126942.93000000001</v>
      </c>
    </row>
    <row r="33" spans="1:17" s="9" customFormat="1" hidden="1" outlineLevel="1" x14ac:dyDescent="0.25">
      <c r="A33" s="23"/>
      <c r="B33" s="10" t="str">
        <f>CONCATENATE("          ","4085", " - ","TAXABLE SALES-SOFTWARE")</f>
        <v xml:space="preserve">          4085 - TAXABLE SALES-SOFTWARE</v>
      </c>
      <c r="C33" s="22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>
        <f>0</f>
        <v>0</v>
      </c>
      <c r="L33" s="2">
        <f>--219.98</f>
        <v>219.98</v>
      </c>
      <c r="M33" s="2">
        <f>--1771.88</f>
        <v>1771.88</v>
      </c>
      <c r="N33" s="2"/>
      <c r="O33" s="2"/>
      <c r="Q33" s="2">
        <f>SUM(OSRRefD11_22x)+IFERROR(SUM(OSRRefE11_22x),0)</f>
        <v>4870.7900000000009</v>
      </c>
    </row>
    <row r="34" spans="1:17" s="9" customFormat="1" hidden="1" outlineLevel="1" x14ac:dyDescent="0.25">
      <c r="A34" s="23"/>
      <c r="B34" s="10" t="str">
        <f>CONCATENATE("          ","4086", " - ","TAXABLE SALES-COMPUTER SUPPLIE")</f>
        <v xml:space="preserve">          4086 - TAXABLE SALES-COMPUTER SUPPLIE</v>
      </c>
      <c r="C34" s="22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>
        <f>--1077.33</f>
        <v>1077.33</v>
      </c>
      <c r="L34" s="2">
        <f>--503.73</f>
        <v>503.73</v>
      </c>
      <c r="M34" s="2">
        <f>--5818.73</f>
        <v>5818.73</v>
      </c>
      <c r="N34" s="2"/>
      <c r="O34" s="2"/>
      <c r="Q34" s="2">
        <f>SUM(OSRRefD11_23x)+IFERROR(SUM(OSRRefE11_23x),0)</f>
        <v>65269.630000000005</v>
      </c>
    </row>
    <row r="35" spans="1:17" s="9" customFormat="1" hidden="1" outlineLevel="1" x14ac:dyDescent="0.25">
      <c r="A35" s="23"/>
      <c r="B35" s="10" t="str">
        <f>CONCATENATE("          ","4095", " - ","TAXABLE SALES-CUSTOMER SERVICE")</f>
        <v xml:space="preserve">          4095 - TAXABLE SALES-CUSTOMER SERVICE</v>
      </c>
      <c r="C35" s="22"/>
      <c r="D35" s="2">
        <f t="shared" ref="D35:J35" si="5">0</f>
        <v>0</v>
      </c>
      <c r="E35" s="2">
        <f t="shared" si="5"/>
        <v>0</v>
      </c>
      <c r="F35" s="2">
        <f t="shared" si="5"/>
        <v>0</v>
      </c>
      <c r="G35" s="2">
        <f t="shared" si="5"/>
        <v>0</v>
      </c>
      <c r="H35" s="2">
        <f t="shared" si="5"/>
        <v>0</v>
      </c>
      <c r="I35" s="2">
        <f t="shared" si="5"/>
        <v>0</v>
      </c>
      <c r="J35" s="2">
        <f t="shared" si="5"/>
        <v>0</v>
      </c>
      <c r="K35" s="2">
        <f>--139.85</f>
        <v>139.85</v>
      </c>
      <c r="L35" s="2">
        <f>--775.28</f>
        <v>775.28</v>
      </c>
      <c r="M35" s="2">
        <f>--2119.46</f>
        <v>2119.46</v>
      </c>
      <c r="N35" s="2"/>
      <c r="O35" s="2"/>
      <c r="Q35" s="2">
        <f>SUM(OSRRefD11_24x)+IFERROR(SUM(OSRRefE11_24x),0)</f>
        <v>3034.59</v>
      </c>
    </row>
    <row r="36" spans="1:17" s="9" customFormat="1" hidden="1" outlineLevel="1" x14ac:dyDescent="0.25">
      <c r="A36" s="23"/>
      <c r="B36" s="10" t="str">
        <f>CONCATENATE("          ","4100", " - ","NON-TAXABLE SALES")</f>
        <v xml:space="preserve">          4100 - NON-TAXABLE SALES</v>
      </c>
      <c r="C36" s="22"/>
      <c r="D36" s="2">
        <f>--3038.3</f>
        <v>3038.3</v>
      </c>
      <c r="E36" s="2">
        <f>--150360.03</f>
        <v>150360.03</v>
      </c>
      <c r="F36" s="2">
        <f>--10945.69</f>
        <v>10945.69</v>
      </c>
      <c r="G36" s="2">
        <f>--135.79</f>
        <v>135.79</v>
      </c>
      <c r="H36" s="2">
        <f>--1333.61</f>
        <v>1333.61</v>
      </c>
      <c r="I36" s="2">
        <f>-225.75</f>
        <v>-225.75</v>
      </c>
      <c r="J36" s="2">
        <f>--112968.19</f>
        <v>112968.19</v>
      </c>
      <c r="K36" s="2">
        <f>--5617.7</f>
        <v>5617.7</v>
      </c>
      <c r="L36" s="2">
        <f>--2050.54</f>
        <v>2050.54</v>
      </c>
      <c r="M36" s="2">
        <f>-12385.33</f>
        <v>-12385.33</v>
      </c>
      <c r="N36" s="2">
        <v>10530</v>
      </c>
      <c r="O36" s="2">
        <v>30384</v>
      </c>
      <c r="Q36" s="2">
        <f>SUM(OSRRefD11_25x)+IFERROR(SUM(OSRRefE11_25x),0)</f>
        <v>314752.76999999996</v>
      </c>
    </row>
    <row r="37" spans="1:17" s="9" customFormat="1" hidden="1" outlineLevel="1" x14ac:dyDescent="0.25">
      <c r="A37" s="23"/>
      <c r="B37" s="10" t="str">
        <f>CONCATENATE("          ","4101", " - ","NON-TAXABLE SALES-NEW TEXT")</f>
        <v xml:space="preserve">          4101 - NON-TAXABLE SALES-NEW TEXT</v>
      </c>
      <c r="C37" s="22"/>
      <c r="D37" s="2">
        <f>--10341.86</f>
        <v>10341.86</v>
      </c>
      <c r="E37" s="2">
        <f>--41238.82</f>
        <v>41238.82</v>
      </c>
      <c r="F37" s="2">
        <f>--18824.16</f>
        <v>18824.16</v>
      </c>
      <c r="G37" s="2">
        <f>--7260.05</f>
        <v>7260.05</v>
      </c>
      <c r="H37" s="2">
        <f>--1270.83</f>
        <v>1270.83</v>
      </c>
      <c r="I37" s="2">
        <f>--3205.21</f>
        <v>3205.21</v>
      </c>
      <c r="J37" s="2">
        <f>--22084.7</f>
        <v>22084.7</v>
      </c>
      <c r="K37" s="2">
        <f>--6785.91</f>
        <v>6785.91</v>
      </c>
      <c r="L37" s="2">
        <f>--1044.17</f>
        <v>1044.17</v>
      </c>
      <c r="M37" s="2">
        <f>--741.03</f>
        <v>741.03</v>
      </c>
      <c r="N37" s="2"/>
      <c r="O37" s="2"/>
      <c r="Q37" s="2">
        <f>SUM(OSRRefD11_26x)+IFERROR(SUM(OSRRefE11_26x),0)</f>
        <v>112796.74</v>
      </c>
    </row>
    <row r="38" spans="1:17" s="9" customFormat="1" hidden="1" outlineLevel="1" x14ac:dyDescent="0.25">
      <c r="A38" s="23"/>
      <c r="B38" s="10" t="str">
        <f>CONCATENATE("          ","4102", " - ","NON-TAXABLE SALES-USED TEXT")</f>
        <v xml:space="preserve">          4102 - NON-TAXABLE SALES-USED TEXT</v>
      </c>
      <c r="C38" s="22"/>
      <c r="D38" s="2">
        <f>--4190.44</f>
        <v>4190.4399999999996</v>
      </c>
      <c r="E38" s="2">
        <f>--17373.3</f>
        <v>17373.3</v>
      </c>
      <c r="F38" s="2">
        <f>--8807.08</f>
        <v>8807.08</v>
      </c>
      <c r="G38" s="2">
        <f>--2341.65</f>
        <v>2341.65</v>
      </c>
      <c r="H38" s="2">
        <f>--320.72</f>
        <v>320.72000000000003</v>
      </c>
      <c r="I38" s="2">
        <f>--598.12</f>
        <v>598.12</v>
      </c>
      <c r="J38" s="2">
        <f>--9330.01</f>
        <v>9330.01</v>
      </c>
      <c r="K38" s="2">
        <f>--3426.05</f>
        <v>3426.05</v>
      </c>
      <c r="L38" s="2">
        <f>--1572.06</f>
        <v>1572.06</v>
      </c>
      <c r="M38" s="2">
        <f>--743.99</f>
        <v>743.99</v>
      </c>
      <c r="N38" s="2"/>
      <c r="O38" s="2"/>
      <c r="Q38" s="2">
        <f>SUM(OSRRefD11_27x)+IFERROR(SUM(OSRRefE11_27x),0)</f>
        <v>48703.420000000006</v>
      </c>
    </row>
    <row r="39" spans="1:17" s="9" customFormat="1" hidden="1" outlineLevel="1" x14ac:dyDescent="0.25">
      <c r="A39" s="23"/>
      <c r="B39" s="10" t="str">
        <f>CONCATENATE("          ","4103", " - ","NON-TAXABLE SALES-RENTAL TEXT")</f>
        <v xml:space="preserve">          4103 - NON-TAXABLE SALES-RENTAL TEXT</v>
      </c>
      <c r="C39" s="22"/>
      <c r="D39" s="2">
        <f t="shared" ref="D39:E39" si="6">0</f>
        <v>0</v>
      </c>
      <c r="E39" s="2">
        <f t="shared" si="6"/>
        <v>0</v>
      </c>
      <c r="F39" s="2">
        <f>--284.97</f>
        <v>284.97000000000003</v>
      </c>
      <c r="G39" s="2">
        <f t="shared" ref="G39:I39" si="7">0</f>
        <v>0</v>
      </c>
      <c r="H39" s="2">
        <f t="shared" si="7"/>
        <v>0</v>
      </c>
      <c r="I39" s="2">
        <f t="shared" si="7"/>
        <v>0</v>
      </c>
      <c r="J39" s="2">
        <f>--853.98</f>
        <v>853.98</v>
      </c>
      <c r="K39" s="2">
        <f t="shared" ref="K39:M39" si="8">0</f>
        <v>0</v>
      </c>
      <c r="L39" s="2">
        <f t="shared" si="8"/>
        <v>0</v>
      </c>
      <c r="M39" s="2">
        <f t="shared" si="8"/>
        <v>0</v>
      </c>
      <c r="N39" s="2"/>
      <c r="O39" s="2"/>
      <c r="Q39" s="2">
        <f>SUM(OSRRefD11_28x)+IFERROR(SUM(OSRRefE11_28x),0)</f>
        <v>1138.95</v>
      </c>
    </row>
    <row r="40" spans="1:17" s="9" customFormat="1" hidden="1" outlineLevel="1" x14ac:dyDescent="0.25">
      <c r="A40" s="23"/>
      <c r="B40" s="10" t="str">
        <f>CONCATENATE("          ","4104", " - ","NON-TAXABLE SALES-DIGITAL TEXT")</f>
        <v xml:space="preserve">          4104 - NON-TAXABLE SALES-DIGITAL TEXT</v>
      </c>
      <c r="C40" s="22"/>
      <c r="D40" s="2">
        <f>--7485.52</f>
        <v>7485.52</v>
      </c>
      <c r="E40" s="2">
        <f>--205404.66</f>
        <v>205404.66</v>
      </c>
      <c r="F40" s="2">
        <f>--73817.67</f>
        <v>73817.67</v>
      </c>
      <c r="G40" s="2">
        <f>--6767.67</f>
        <v>6767.67</v>
      </c>
      <c r="H40" s="2">
        <f>--1414.19</f>
        <v>1414.19</v>
      </c>
      <c r="I40" s="2">
        <f>--1301.3</f>
        <v>1301.3</v>
      </c>
      <c r="J40" s="2">
        <f>--161977.12</f>
        <v>161977.12</v>
      </c>
      <c r="K40" s="2">
        <f>--17705.92</f>
        <v>17705.919999999998</v>
      </c>
      <c r="L40" s="2">
        <f>--1097.13</f>
        <v>1097.1300000000001</v>
      </c>
      <c r="M40" s="2">
        <f>--3431.99</f>
        <v>3431.99</v>
      </c>
      <c r="N40" s="2"/>
      <c r="O40" s="2"/>
      <c r="Q40" s="2">
        <f>SUM(OSRRefD11_29x)+IFERROR(SUM(OSRRefE11_29x),0)</f>
        <v>480403.16999999993</v>
      </c>
    </row>
    <row r="41" spans="1:17" s="9" customFormat="1" hidden="1" outlineLevel="1" x14ac:dyDescent="0.25">
      <c r="A41" s="23"/>
      <c r="B41" s="10" t="str">
        <f>CONCATENATE("          ","4113", " - ","NON-TAXABLE SALES-TRADE BOOKS")</f>
        <v xml:space="preserve">          4113 - NON-TAXABLE SALES-TRADE BOOKS</v>
      </c>
      <c r="C41" s="22"/>
      <c r="D41" s="2">
        <f t="shared" ref="D41:F41" si="9">0</f>
        <v>0</v>
      </c>
      <c r="E41" s="2">
        <f t="shared" si="9"/>
        <v>0</v>
      </c>
      <c r="F41" s="2">
        <f t="shared" si="9"/>
        <v>0</v>
      </c>
      <c r="G41" s="2">
        <f>--1655.95</f>
        <v>1655.95</v>
      </c>
      <c r="H41" s="2">
        <f>--630</f>
        <v>630</v>
      </c>
      <c r="I41" s="2">
        <f>--41.55</f>
        <v>41.55</v>
      </c>
      <c r="J41" s="2">
        <f>--4661.75</f>
        <v>4661.75</v>
      </c>
      <c r="K41" s="2">
        <f>--3150</f>
        <v>3150</v>
      </c>
      <c r="L41" s="2">
        <f>--1250</f>
        <v>1250</v>
      </c>
      <c r="M41" s="2">
        <f>--738</f>
        <v>738</v>
      </c>
      <c r="N41" s="2"/>
      <c r="O41" s="2"/>
      <c r="Q41" s="2">
        <f>SUM(OSRRefD11_30x)+IFERROR(SUM(OSRRefE11_30x),0)</f>
        <v>12127.25</v>
      </c>
    </row>
    <row r="42" spans="1:17" s="9" customFormat="1" hidden="1" outlineLevel="1" x14ac:dyDescent="0.25">
      <c r="A42" s="23"/>
      <c r="B42" s="10" t="str">
        <f>CONCATENATE("          ","4118", " - ","NON-TAXABLE SALES-STUDY GUIDES")</f>
        <v xml:space="preserve">          4118 - NON-TAXABLE SALES-STUDY GUIDES</v>
      </c>
      <c r="C42" s="22"/>
      <c r="D42" s="2">
        <f>--53.96</f>
        <v>53.96</v>
      </c>
      <c r="E42" s="2">
        <f>--47.87</f>
        <v>47.87</v>
      </c>
      <c r="F42" s="2">
        <f>--6.5</f>
        <v>6.5</v>
      </c>
      <c r="G42" s="2">
        <f>--97.3</f>
        <v>97.3</v>
      </c>
      <c r="H42" s="2">
        <f>--27.8</f>
        <v>27.8</v>
      </c>
      <c r="I42" s="2">
        <f t="shared" ref="I42:I43" si="10">0</f>
        <v>0</v>
      </c>
      <c r="J42" s="2">
        <f>--538.3</f>
        <v>538.29999999999995</v>
      </c>
      <c r="K42" s="2">
        <f t="shared" ref="K42:M43" si="11">0</f>
        <v>0</v>
      </c>
      <c r="L42" s="2">
        <f t="shared" si="11"/>
        <v>0</v>
      </c>
      <c r="M42" s="2">
        <f t="shared" si="11"/>
        <v>0</v>
      </c>
      <c r="N42" s="2"/>
      <c r="O42" s="2"/>
      <c r="Q42" s="2">
        <f>SUM(OSRRefD11_31x)+IFERROR(SUM(OSRRefE11_31x),0)</f>
        <v>771.73</v>
      </c>
    </row>
    <row r="43" spans="1:17" s="9" customFormat="1" hidden="1" outlineLevel="1" x14ac:dyDescent="0.25">
      <c r="A43" s="23"/>
      <c r="B43" s="10" t="str">
        <f>CONCATENATE("          ","4126", " - ","NON-TAXABLE SALES-WRITING INST")</f>
        <v xml:space="preserve">          4126 - NON-TAXABLE SALES-WRITING INST</v>
      </c>
      <c r="C43" s="22"/>
      <c r="D43" s="2">
        <f>--52.68</f>
        <v>52.68</v>
      </c>
      <c r="E43" s="2">
        <f t="shared" ref="E43:H43" si="12">0</f>
        <v>0</v>
      </c>
      <c r="F43" s="2">
        <f t="shared" si="12"/>
        <v>0</v>
      </c>
      <c r="G43" s="2">
        <f t="shared" si="12"/>
        <v>0</v>
      </c>
      <c r="H43" s="2">
        <f t="shared" si="12"/>
        <v>0</v>
      </c>
      <c r="I43" s="2">
        <f t="shared" si="10"/>
        <v>0</v>
      </c>
      <c r="J43" s="2">
        <f>0</f>
        <v>0</v>
      </c>
      <c r="K43" s="2">
        <f t="shared" si="11"/>
        <v>0</v>
      </c>
      <c r="L43" s="2">
        <f t="shared" si="11"/>
        <v>0</v>
      </c>
      <c r="M43" s="2">
        <f t="shared" si="11"/>
        <v>0</v>
      </c>
      <c r="N43" s="2"/>
      <c r="O43" s="2"/>
      <c r="Q43" s="2">
        <f>SUM(OSRRefD11_32x)+IFERROR(SUM(OSRRefE11_32x),0)</f>
        <v>52.68</v>
      </c>
    </row>
    <row r="44" spans="1:17" s="9" customFormat="1" hidden="1" outlineLevel="1" x14ac:dyDescent="0.25">
      <c r="A44" s="23"/>
      <c r="B44" s="10" t="str">
        <f>CONCATENATE("          ","4127", " - ","NON-TAXABLE SALES-SCHOOL SUPPL")</f>
        <v xml:space="preserve">          4127 - NON-TAXABLE SALES-SCHOOL SUPPL</v>
      </c>
      <c r="C44" s="22"/>
      <c r="D44" s="2">
        <f>--72.25</f>
        <v>72.25</v>
      </c>
      <c r="E44" s="2">
        <f>--1788.16</f>
        <v>1788.16</v>
      </c>
      <c r="F44" s="2">
        <f>--810.33</f>
        <v>810.33</v>
      </c>
      <c r="G44" s="2">
        <f>--160.95</f>
        <v>160.94999999999999</v>
      </c>
      <c r="H44" s="2">
        <f>--114.89</f>
        <v>114.89</v>
      </c>
      <c r="I44" s="2">
        <f>--259.53</f>
        <v>259.52999999999997</v>
      </c>
      <c r="J44" s="2">
        <f>--2539.06</f>
        <v>2539.06</v>
      </c>
      <c r="K44" s="2">
        <f>--472.19</f>
        <v>472.19</v>
      </c>
      <c r="L44" s="2">
        <f>--389.95</f>
        <v>389.95</v>
      </c>
      <c r="M44" s="2">
        <f>--493.37</f>
        <v>493.37</v>
      </c>
      <c r="N44" s="2"/>
      <c r="O44" s="2"/>
      <c r="Q44" s="2">
        <f>SUM(OSRRefD11_33x)+IFERROR(SUM(OSRRefE11_33x),0)</f>
        <v>7100.6799999999994</v>
      </c>
    </row>
    <row r="45" spans="1:17" s="9" customFormat="1" hidden="1" outlineLevel="1" x14ac:dyDescent="0.25">
      <c r="A45" s="23"/>
      <c r="B45" s="10" t="str">
        <f>CONCATENATE("          ","4128", " - ","NON-TAXABLE SALES-ART/TECH")</f>
        <v xml:space="preserve">          4128 - NON-TAXABLE SALES-ART/TECH</v>
      </c>
      <c r="C45" s="22"/>
      <c r="D45" s="2">
        <f t="shared" ref="D45:G45" si="13">0</f>
        <v>0</v>
      </c>
      <c r="E45" s="2">
        <f t="shared" si="13"/>
        <v>0</v>
      </c>
      <c r="F45" s="2">
        <f t="shared" si="13"/>
        <v>0</v>
      </c>
      <c r="G45" s="2">
        <f t="shared" si="13"/>
        <v>0</v>
      </c>
      <c r="H45" s="2">
        <f>--24.78</f>
        <v>24.78</v>
      </c>
      <c r="I45" s="2">
        <f>0</f>
        <v>0</v>
      </c>
      <c r="J45" s="2">
        <f>--4.72</f>
        <v>4.72</v>
      </c>
      <c r="K45" s="2">
        <f>--9.08</f>
        <v>9.08</v>
      </c>
      <c r="L45" s="2">
        <f>0</f>
        <v>0</v>
      </c>
      <c r="M45" s="2">
        <f>--31.37</f>
        <v>31.37</v>
      </c>
      <c r="N45" s="2"/>
      <c r="O45" s="2"/>
      <c r="Q45" s="2">
        <f>SUM(OSRRefD11_34x)+IFERROR(SUM(OSRRefE11_34x),0)</f>
        <v>69.95</v>
      </c>
    </row>
    <row r="46" spans="1:17" s="9" customFormat="1" hidden="1" outlineLevel="1" x14ac:dyDescent="0.25">
      <c r="A46" s="23"/>
      <c r="B46" s="10" t="str">
        <f>CONCATENATE("          ","4131", " - ","NON-TAXABLE SALES-FOOD")</f>
        <v xml:space="preserve">          4131 - NON-TAXABLE SALES-FOOD</v>
      </c>
      <c r="C46" s="22"/>
      <c r="D46" s="2">
        <f>--259.43</f>
        <v>259.43</v>
      </c>
      <c r="E46" s="2">
        <f>--1575.79</f>
        <v>1575.79</v>
      </c>
      <c r="F46" s="2">
        <f>--2168.74</f>
        <v>2168.7399999999998</v>
      </c>
      <c r="G46" s="2">
        <f>--1521.48</f>
        <v>1521.48</v>
      </c>
      <c r="H46" s="2">
        <f>--983.89</f>
        <v>983.89</v>
      </c>
      <c r="I46" s="2">
        <f>--1032.82</f>
        <v>1032.82</v>
      </c>
      <c r="J46" s="2">
        <f>--1098.12</f>
        <v>1098.1199999999999</v>
      </c>
      <c r="K46" s="2">
        <f>--934.88</f>
        <v>934.88</v>
      </c>
      <c r="L46" s="2">
        <f>--829.28</f>
        <v>829.28</v>
      </c>
      <c r="M46" s="2">
        <f>--975.93</f>
        <v>975.93</v>
      </c>
      <c r="N46" s="2"/>
      <c r="O46" s="2"/>
      <c r="Q46" s="2">
        <f>SUM(OSRRefD11_35x)+IFERROR(SUM(OSRRefE11_35x),0)</f>
        <v>11380.36</v>
      </c>
    </row>
    <row r="47" spans="1:17" s="9" customFormat="1" hidden="1" outlineLevel="1" x14ac:dyDescent="0.25">
      <c r="A47" s="23"/>
      <c r="B47" s="10" t="str">
        <f>CONCATENATE("          ","4132", " - ","NON-TAXABLE SALES-JUICE")</f>
        <v xml:space="preserve">          4132 - NON-TAXABLE SALES-JUICE</v>
      </c>
      <c r="C47" s="22"/>
      <c r="D47" s="2">
        <f>--22.49</f>
        <v>22.49</v>
      </c>
      <c r="E47" s="2">
        <f t="shared" ref="E47:M47" si="14">0</f>
        <v>0</v>
      </c>
      <c r="F47" s="2">
        <f t="shared" si="14"/>
        <v>0</v>
      </c>
      <c r="G47" s="2">
        <f t="shared" si="14"/>
        <v>0</v>
      </c>
      <c r="H47" s="2">
        <f t="shared" si="14"/>
        <v>0</v>
      </c>
      <c r="I47" s="2">
        <f t="shared" si="14"/>
        <v>0</v>
      </c>
      <c r="J47" s="2">
        <f t="shared" si="14"/>
        <v>0</v>
      </c>
      <c r="K47" s="2">
        <f t="shared" si="14"/>
        <v>0</v>
      </c>
      <c r="L47" s="2">
        <f t="shared" si="14"/>
        <v>0</v>
      </c>
      <c r="M47" s="2">
        <f t="shared" si="14"/>
        <v>0</v>
      </c>
      <c r="N47" s="2"/>
      <c r="O47" s="2"/>
      <c r="Q47" s="2">
        <f>SUM(OSRRefD11_36x)+IFERROR(SUM(OSRRefE11_36x),0)</f>
        <v>22.49</v>
      </c>
    </row>
    <row r="48" spans="1:17" s="9" customFormat="1" hidden="1" outlineLevel="1" x14ac:dyDescent="0.25">
      <c r="A48" s="23"/>
      <c r="B48" s="10" t="str">
        <f>CONCATENATE("          ","4133", " - ","NON-TAXABLE SALES-CANDY")</f>
        <v xml:space="preserve">          4133 - NON-TAXABLE SALES-CANDY</v>
      </c>
      <c r="C48" s="22"/>
      <c r="D48" s="2">
        <f>--68.28</f>
        <v>68.28</v>
      </c>
      <c r="E48" s="2">
        <f>--12.43</f>
        <v>12.43</v>
      </c>
      <c r="F48" s="2">
        <f t="shared" ref="F48:M50" si="15">0</f>
        <v>0</v>
      </c>
      <c r="G48" s="2">
        <f t="shared" si="15"/>
        <v>0</v>
      </c>
      <c r="H48" s="2">
        <f t="shared" si="15"/>
        <v>0</v>
      </c>
      <c r="I48" s="2">
        <f t="shared" si="15"/>
        <v>0</v>
      </c>
      <c r="J48" s="2">
        <f t="shared" si="15"/>
        <v>0</v>
      </c>
      <c r="K48" s="2">
        <f t="shared" si="15"/>
        <v>0</v>
      </c>
      <c r="L48" s="2">
        <f t="shared" si="15"/>
        <v>0</v>
      </c>
      <c r="M48" s="2">
        <f t="shared" si="15"/>
        <v>0</v>
      </c>
      <c r="N48" s="2"/>
      <c r="O48" s="2"/>
      <c r="Q48" s="2">
        <f>SUM(OSRRefD11_37x)+IFERROR(SUM(OSRRefE11_37x),0)</f>
        <v>80.710000000000008</v>
      </c>
    </row>
    <row r="49" spans="1:17" s="9" customFormat="1" hidden="1" outlineLevel="1" x14ac:dyDescent="0.25">
      <c r="A49" s="23"/>
      <c r="B49" s="10" t="str">
        <f>CONCATENATE("          ","4134", " - ","NON-TAXABLE SALES-SODA")</f>
        <v xml:space="preserve">          4134 - NON-TAXABLE SALES-SODA</v>
      </c>
      <c r="C49" s="22"/>
      <c r="D49" s="2">
        <f>--45.53</f>
        <v>45.53</v>
      </c>
      <c r="E49" s="2">
        <f t="shared" ref="E49:E50" si="16">0</f>
        <v>0</v>
      </c>
      <c r="F49" s="2">
        <f t="shared" si="15"/>
        <v>0</v>
      </c>
      <c r="G49" s="2">
        <f t="shared" si="15"/>
        <v>0</v>
      </c>
      <c r="H49" s="2">
        <f t="shared" si="15"/>
        <v>0</v>
      </c>
      <c r="I49" s="2">
        <f t="shared" si="15"/>
        <v>0</v>
      </c>
      <c r="J49" s="2">
        <f t="shared" si="15"/>
        <v>0</v>
      </c>
      <c r="K49" s="2">
        <f t="shared" si="15"/>
        <v>0</v>
      </c>
      <c r="L49" s="2">
        <f t="shared" si="15"/>
        <v>0</v>
      </c>
      <c r="M49" s="2">
        <f t="shared" si="15"/>
        <v>0</v>
      </c>
      <c r="N49" s="2"/>
      <c r="O49" s="2"/>
      <c r="Q49" s="2">
        <f>SUM(OSRRefD11_38x)+IFERROR(SUM(OSRRefE11_38x),0)</f>
        <v>45.53</v>
      </c>
    </row>
    <row r="50" spans="1:17" s="9" customFormat="1" hidden="1" outlineLevel="1" x14ac:dyDescent="0.25">
      <c r="A50" s="23"/>
      <c r="B50" s="10" t="str">
        <f>CONCATENATE("          ","4137", " - ","NON-TAXABLE SALES-WATER")</f>
        <v xml:space="preserve">          4137 - NON-TAXABLE SALES-WATER</v>
      </c>
      <c r="C50" s="22"/>
      <c r="D50" s="2">
        <f>--68.25</f>
        <v>68.25</v>
      </c>
      <c r="E50" s="2">
        <f t="shared" si="16"/>
        <v>0</v>
      </c>
      <c r="F50" s="2">
        <f t="shared" si="15"/>
        <v>0</v>
      </c>
      <c r="G50" s="2">
        <f t="shared" si="15"/>
        <v>0</v>
      </c>
      <c r="H50" s="2">
        <f t="shared" si="15"/>
        <v>0</v>
      </c>
      <c r="I50" s="2">
        <f t="shared" si="15"/>
        <v>0</v>
      </c>
      <c r="J50" s="2">
        <f t="shared" si="15"/>
        <v>0</v>
      </c>
      <c r="K50" s="2">
        <f t="shared" si="15"/>
        <v>0</v>
      </c>
      <c r="L50" s="2">
        <f t="shared" si="15"/>
        <v>0</v>
      </c>
      <c r="M50" s="2">
        <f t="shared" si="15"/>
        <v>0</v>
      </c>
      <c r="N50" s="2"/>
      <c r="O50" s="2"/>
      <c r="Q50" s="2">
        <f>SUM(OSRRefD11_39x)+IFERROR(SUM(OSRRefE11_39x),0)</f>
        <v>68.25</v>
      </c>
    </row>
    <row r="51" spans="1:17" s="9" customFormat="1" hidden="1" outlineLevel="1" x14ac:dyDescent="0.25">
      <c r="A51" s="23"/>
      <c r="B51" s="10" t="str">
        <f>CONCATENATE("          ","4140", " - ","NON-TAXABLE SALES-LOGO CLOTHIN")</f>
        <v xml:space="preserve">          4140 - NON-TAXABLE SALES-LOGO CLOTHIN</v>
      </c>
      <c r="C51" s="22"/>
      <c r="D51" s="2">
        <f>--6846.24</f>
        <v>6846.24</v>
      </c>
      <c r="E51" s="2">
        <f>--7266.5</f>
        <v>7266.5</v>
      </c>
      <c r="F51" s="2">
        <f>--3339.7</f>
        <v>3339.7</v>
      </c>
      <c r="G51" s="2">
        <f>--13163.04</f>
        <v>13163.04</v>
      </c>
      <c r="H51" s="2">
        <f>--19704.79</f>
        <v>19704.79</v>
      </c>
      <c r="I51" s="2">
        <f>--53650.7</f>
        <v>53650.7</v>
      </c>
      <c r="J51" s="2">
        <f>--9206.45</f>
        <v>9206.4500000000007</v>
      </c>
      <c r="K51" s="2">
        <f>--1947.86</f>
        <v>1947.86</v>
      </c>
      <c r="L51" s="2">
        <f>--16626.41</f>
        <v>16626.41</v>
      </c>
      <c r="M51" s="2">
        <f>--23040.7</f>
        <v>23040.7</v>
      </c>
      <c r="N51" s="2"/>
      <c r="O51" s="2"/>
      <c r="Q51" s="2">
        <f>SUM(OSRRefD11_40x)+IFERROR(SUM(OSRRefE11_40x),0)</f>
        <v>154792.39000000001</v>
      </c>
    </row>
    <row r="52" spans="1:17" s="9" customFormat="1" hidden="1" outlineLevel="1" x14ac:dyDescent="0.25">
      <c r="A52" s="23"/>
      <c r="B52" s="10" t="str">
        <f>CONCATENATE("          ","4141", " - ","NON-TAXABLE SALES-LOGO GIFTS")</f>
        <v xml:space="preserve">          4141 - NON-TAXABLE SALES-LOGO GIFTS</v>
      </c>
      <c r="C52" s="22"/>
      <c r="D52" s="2">
        <f>--1200.19</f>
        <v>1200.19</v>
      </c>
      <c r="E52" s="2">
        <f>--1189.06</f>
        <v>1189.06</v>
      </c>
      <c r="F52" s="2">
        <f>--555.74</f>
        <v>555.74</v>
      </c>
      <c r="G52" s="2">
        <f>--437.71</f>
        <v>437.71</v>
      </c>
      <c r="H52" s="2">
        <f>--806.32</f>
        <v>806.32</v>
      </c>
      <c r="I52" s="2">
        <f>--1780.23</f>
        <v>1780.23</v>
      </c>
      <c r="J52" s="2">
        <f>--1872.52</f>
        <v>1872.52</v>
      </c>
      <c r="K52" s="2">
        <f>--671.25</f>
        <v>671.25</v>
      </c>
      <c r="L52" s="2">
        <f>--1055.22</f>
        <v>1055.22</v>
      </c>
      <c r="M52" s="2">
        <f>--27228.57</f>
        <v>27228.57</v>
      </c>
      <c r="N52" s="2"/>
      <c r="O52" s="2"/>
      <c r="Q52" s="2">
        <f>SUM(OSRRefD11_41x)+IFERROR(SUM(OSRRefE11_41x),0)</f>
        <v>36796.81</v>
      </c>
    </row>
    <row r="53" spans="1:17" s="9" customFormat="1" hidden="1" outlineLevel="1" x14ac:dyDescent="0.25">
      <c r="A53" s="23"/>
      <c r="B53" s="10" t="str">
        <f>CONCATENATE("          ","4142", " - ","NON-TAXABLE SALES-EVERYDAY GIF")</f>
        <v xml:space="preserve">          4142 - NON-TAXABLE SALES-EVERYDAY GIF</v>
      </c>
      <c r="C53" s="22"/>
      <c r="D53" s="2">
        <f>--640.17</f>
        <v>640.16999999999996</v>
      </c>
      <c r="E53" s="2">
        <f>--339.4</f>
        <v>339.4</v>
      </c>
      <c r="F53" s="2">
        <f>--30.16</f>
        <v>30.16</v>
      </c>
      <c r="G53" s="2">
        <f>--310.68</f>
        <v>310.68</v>
      </c>
      <c r="H53" s="2">
        <f>--887.78</f>
        <v>887.78</v>
      </c>
      <c r="I53" s="2">
        <f>0</f>
        <v>0</v>
      </c>
      <c r="J53" s="2">
        <f>--51.7</f>
        <v>51.7</v>
      </c>
      <c r="K53" s="2">
        <f>--4.58</f>
        <v>4.58</v>
      </c>
      <c r="L53" s="2">
        <f>--16.9</f>
        <v>16.899999999999999</v>
      </c>
      <c r="M53" s="2">
        <f>--306.73</f>
        <v>306.73</v>
      </c>
      <c r="N53" s="2"/>
      <c r="O53" s="2"/>
      <c r="Q53" s="2">
        <f>SUM(OSRRefD11_42x)+IFERROR(SUM(OSRRefE11_42x),0)</f>
        <v>2588.0999999999995</v>
      </c>
    </row>
    <row r="54" spans="1:17" s="9" customFormat="1" hidden="1" outlineLevel="1" x14ac:dyDescent="0.25">
      <c r="A54" s="23"/>
      <c r="B54" s="10" t="str">
        <f>CONCATENATE("          ","4143", " - ","NON-TAXABLE SALES-CARDS")</f>
        <v xml:space="preserve">          4143 - NON-TAXABLE SALES-CARDS</v>
      </c>
      <c r="C54" s="22"/>
      <c r="D54" s="2">
        <f>0</f>
        <v>0</v>
      </c>
      <c r="E54" s="2">
        <f>--19.98</f>
        <v>19.98</v>
      </c>
      <c r="F54" s="2">
        <f>0</f>
        <v>0</v>
      </c>
      <c r="G54" s="2">
        <f t="shared" ref="G54:H54" si="17">--9.99</f>
        <v>9.99</v>
      </c>
      <c r="H54" s="2">
        <f t="shared" si="17"/>
        <v>9.99</v>
      </c>
      <c r="I54" s="2">
        <f>--1697.07</f>
        <v>1697.07</v>
      </c>
      <c r="J54" s="2">
        <f>--232.71</f>
        <v>232.71</v>
      </c>
      <c r="K54" s="2">
        <f>--149.92</f>
        <v>149.91999999999999</v>
      </c>
      <c r="L54" s="2">
        <f>--261.82</f>
        <v>261.82</v>
      </c>
      <c r="M54" s="2">
        <f>--49.97</f>
        <v>49.97</v>
      </c>
      <c r="N54" s="2"/>
      <c r="O54" s="2"/>
      <c r="Q54" s="2">
        <f>SUM(OSRRefD11_43x)+IFERROR(SUM(OSRRefE11_43x),0)</f>
        <v>2431.4499999999998</v>
      </c>
    </row>
    <row r="55" spans="1:17" s="9" customFormat="1" hidden="1" outlineLevel="1" x14ac:dyDescent="0.25">
      <c r="A55" s="23"/>
      <c r="B55" s="10" t="str">
        <f>CONCATENATE("          ","4144", " - ","NON-TAXABLE SALES-ACCESSORIES")</f>
        <v xml:space="preserve">          4144 - NON-TAXABLE SALES-ACCESSORIES</v>
      </c>
      <c r="C55" s="22"/>
      <c r="D55" s="2">
        <f>--47.85</f>
        <v>47.85</v>
      </c>
      <c r="E55" s="2">
        <f>--107.95</f>
        <v>107.95</v>
      </c>
      <c r="F55" s="2">
        <f>--59.95</f>
        <v>59.95</v>
      </c>
      <c r="G55" s="2">
        <f>--154</f>
        <v>154</v>
      </c>
      <c r="H55" s="2">
        <f>--19.95</f>
        <v>19.95</v>
      </c>
      <c r="I55" s="2">
        <f>--99.8</f>
        <v>99.8</v>
      </c>
      <c r="J55" s="2">
        <f>--119.9</f>
        <v>119.9</v>
      </c>
      <c r="K55" s="2">
        <f>--39.95</f>
        <v>39.950000000000003</v>
      </c>
      <c r="L55" s="2">
        <f>--29.9</f>
        <v>29.9</v>
      </c>
      <c r="M55" s="2">
        <f>--29.85</f>
        <v>29.85</v>
      </c>
      <c r="N55" s="2"/>
      <c r="O55" s="2"/>
      <c r="Q55" s="2">
        <f>SUM(OSRRefD11_44x)+IFERROR(SUM(OSRRefE11_44x),0)</f>
        <v>709.1</v>
      </c>
    </row>
    <row r="56" spans="1:17" s="9" customFormat="1" hidden="1" outlineLevel="1" x14ac:dyDescent="0.25">
      <c r="A56" s="23"/>
      <c r="B56" s="10" t="str">
        <f>CONCATENATE("          ","4145", " - ","NON-TAXABLE SALES-SPECIAL ORDE")</f>
        <v xml:space="preserve">          4145 - NON-TAXABLE SALES-SPECIAL ORDE</v>
      </c>
      <c r="C56" s="22"/>
      <c r="D56" s="2">
        <f>--35496</f>
        <v>35496</v>
      </c>
      <c r="E56" s="2">
        <f>--350</f>
        <v>350</v>
      </c>
      <c r="F56" s="2">
        <f t="shared" ref="F56:G56" si="18">0</f>
        <v>0</v>
      </c>
      <c r="G56" s="2">
        <f t="shared" si="18"/>
        <v>0</v>
      </c>
      <c r="H56" s="2">
        <f>--2800</f>
        <v>2800</v>
      </c>
      <c r="I56" s="2">
        <f>--16747.77</f>
        <v>16747.77</v>
      </c>
      <c r="J56" s="2">
        <f>-1677.68</f>
        <v>-1677.68</v>
      </c>
      <c r="K56" s="2">
        <f t="shared" ref="K56:L56" si="19">0</f>
        <v>0</v>
      </c>
      <c r="L56" s="2">
        <f t="shared" si="19"/>
        <v>0</v>
      </c>
      <c r="M56" s="2">
        <f>--20350.8</f>
        <v>20350.8</v>
      </c>
      <c r="N56" s="2"/>
      <c r="O56" s="2"/>
      <c r="Q56" s="2">
        <f>SUM(OSRRefD11_45x)+IFERROR(SUM(OSRRefE11_45x),0)</f>
        <v>74066.89</v>
      </c>
    </row>
    <row r="57" spans="1:17" s="9" customFormat="1" hidden="1" outlineLevel="1" x14ac:dyDescent="0.25">
      <c r="A57" s="23"/>
      <c r="B57" s="10" t="str">
        <f>CONCATENATE("          ","4146", " - ","NON-TAXABLE SALES-COIN OP MACH")</f>
        <v xml:space="preserve">          4146 - NON-TAXABLE SALES-COIN OP MACH</v>
      </c>
      <c r="C57" s="22"/>
      <c r="D57" s="2">
        <f>0</f>
        <v>0</v>
      </c>
      <c r="E57" s="2">
        <f>--15.5</f>
        <v>15.5</v>
      </c>
      <c r="F57" s="2">
        <f>--49.7</f>
        <v>49.7</v>
      </c>
      <c r="G57" s="2">
        <f>--21.3</f>
        <v>21.3</v>
      </c>
      <c r="H57" s="2">
        <f>--21.5</f>
        <v>21.5</v>
      </c>
      <c r="I57" s="2">
        <f>--19.9</f>
        <v>19.899999999999999</v>
      </c>
      <c r="J57" s="2">
        <f>--12.7</f>
        <v>12.7</v>
      </c>
      <c r="K57" s="2">
        <f>--67.8</f>
        <v>67.8</v>
      </c>
      <c r="L57" s="2">
        <f>--90.7</f>
        <v>90.7</v>
      </c>
      <c r="M57" s="2">
        <f>--30.2</f>
        <v>30.2</v>
      </c>
      <c r="N57" s="2"/>
      <c r="O57" s="2"/>
      <c r="Q57" s="2">
        <f>SUM(OSRRefD11_46x)+IFERROR(SUM(OSRRefE11_46x),0)</f>
        <v>329.29999999999995</v>
      </c>
    </row>
    <row r="58" spans="1:17" s="9" customFormat="1" hidden="1" outlineLevel="1" x14ac:dyDescent="0.25">
      <c r="A58" s="23"/>
      <c r="B58" s="10" t="str">
        <f>CONCATENATE("          ","4147", " - ","NON-TAXABLE SALES-MISC")</f>
        <v xml:space="preserve">          4147 - NON-TAXABLE SALES-MISC</v>
      </c>
      <c r="C58" s="22"/>
      <c r="D58" s="2">
        <f>--1</f>
        <v>1</v>
      </c>
      <c r="E58" s="2">
        <f>--23</f>
        <v>23</v>
      </c>
      <c r="F58" s="2">
        <f>--24</f>
        <v>24</v>
      </c>
      <c r="G58" s="2">
        <f>--38.5</f>
        <v>38.5</v>
      </c>
      <c r="H58" s="2">
        <f>--5</f>
        <v>5</v>
      </c>
      <c r="I58" s="2">
        <f>--13</f>
        <v>13</v>
      </c>
      <c r="J58" s="2">
        <f>--11</f>
        <v>11</v>
      </c>
      <c r="K58" s="2">
        <f>--17</f>
        <v>17</v>
      </c>
      <c r="L58" s="2">
        <f t="shared" ref="L58:M58" si="20">--11</f>
        <v>11</v>
      </c>
      <c r="M58" s="2">
        <f t="shared" si="20"/>
        <v>11</v>
      </c>
      <c r="N58" s="2"/>
      <c r="O58" s="2"/>
      <c r="Q58" s="2">
        <f>SUM(OSRRefD11_47x)+IFERROR(SUM(OSRRefE11_47x),0)</f>
        <v>154.5</v>
      </c>
    </row>
    <row r="59" spans="1:17" s="9" customFormat="1" hidden="1" outlineLevel="1" x14ac:dyDescent="0.25">
      <c r="A59" s="23"/>
      <c r="B59" s="10" t="str">
        <f>CONCATENATE("          ","4181", " - ","NON-TAXABLE SALES-ELECTRONICS")</f>
        <v xml:space="preserve">          4181 - NON-TAXABLE SALES-ELECTRONICS</v>
      </c>
      <c r="C59" s="22"/>
      <c r="D59" s="2">
        <f>--289.98</f>
        <v>289.98</v>
      </c>
      <c r="E59" s="2">
        <f>--2349.29</f>
        <v>2349.29</v>
      </c>
      <c r="F59" s="2">
        <f>--669.89</f>
        <v>669.89</v>
      </c>
      <c r="G59" s="2">
        <f>--194.97</f>
        <v>194.97</v>
      </c>
      <c r="H59" s="2">
        <f>--29.99</f>
        <v>29.99</v>
      </c>
      <c r="I59" s="2">
        <f>0</f>
        <v>0</v>
      </c>
      <c r="J59" s="2">
        <f>--2038.6</f>
        <v>2038.6</v>
      </c>
      <c r="K59" s="2">
        <f>--6619.94</f>
        <v>6619.94</v>
      </c>
      <c r="L59" s="2">
        <f>--285.97</f>
        <v>285.97000000000003</v>
      </c>
      <c r="M59" s="2">
        <f>--29.99</f>
        <v>29.99</v>
      </c>
      <c r="N59" s="2"/>
      <c r="O59" s="2"/>
      <c r="Q59" s="2">
        <f>SUM(OSRRefD11_48x)+IFERROR(SUM(OSRRefE11_48x),0)</f>
        <v>12508.619999999999</v>
      </c>
    </row>
    <row r="60" spans="1:17" s="9" customFormat="1" hidden="1" outlineLevel="1" x14ac:dyDescent="0.25">
      <c r="A60" s="23"/>
      <c r="B60" s="10" t="str">
        <f>CONCATENATE("          ","4182", " - ","NON-TAXABLE SALES-COMPUTER HAR")</f>
        <v xml:space="preserve">          4182 - NON-TAXABLE SALES-COMPUTER HAR</v>
      </c>
      <c r="C60" s="22"/>
      <c r="D60" s="2">
        <f>--35876.99</f>
        <v>35876.99</v>
      </c>
      <c r="E60" s="2">
        <f>--46190.39</f>
        <v>46190.39</v>
      </c>
      <c r="F60" s="2">
        <f>--38657</f>
        <v>38657</v>
      </c>
      <c r="G60" s="2">
        <f>--24570</f>
        <v>24570</v>
      </c>
      <c r="H60" s="2">
        <f>--9499.97</f>
        <v>9499.9699999999993</v>
      </c>
      <c r="I60" s="2">
        <f>--9513.96</f>
        <v>9513.9599999999991</v>
      </c>
      <c r="J60" s="2">
        <f>--22090.89</f>
        <v>22090.89</v>
      </c>
      <c r="K60" s="2">
        <f>--33247.79</f>
        <v>33247.79</v>
      </c>
      <c r="L60" s="2">
        <f>--33767.84</f>
        <v>33767.839999999997</v>
      </c>
      <c r="M60" s="2">
        <f>--61075.64</f>
        <v>61075.64</v>
      </c>
      <c r="N60" s="2"/>
      <c r="O60" s="2"/>
      <c r="Q60" s="2">
        <f>SUM(OSRRefD11_49x)+IFERROR(SUM(OSRRefE11_49x),0)</f>
        <v>314490.47000000003</v>
      </c>
    </row>
    <row r="61" spans="1:17" s="9" customFormat="1" hidden="1" outlineLevel="1" x14ac:dyDescent="0.25">
      <c r="A61" s="23"/>
      <c r="B61" s="10" t="str">
        <f>CONCATENATE("          ","4183", " - ","NON-TAXABLE SALES-COMPUTER EQU")</f>
        <v xml:space="preserve">          4183 - NON-TAXABLE SALES-COMPUTER EQU</v>
      </c>
      <c r="C61" s="22"/>
      <c r="D61" s="2">
        <f>--1359.85</f>
        <v>1359.85</v>
      </c>
      <c r="E61" s="2">
        <f>--1759.83</f>
        <v>1759.83</v>
      </c>
      <c r="F61" s="2">
        <f>--1946.8</f>
        <v>1946.8</v>
      </c>
      <c r="G61" s="2">
        <f>--1269.91</f>
        <v>1269.9100000000001</v>
      </c>
      <c r="H61" s="2">
        <f>--1033.89</f>
        <v>1033.8900000000001</v>
      </c>
      <c r="I61" s="2">
        <f>--258.91</f>
        <v>258.91000000000003</v>
      </c>
      <c r="J61" s="2">
        <f>--2888.95</f>
        <v>2888.95</v>
      </c>
      <c r="K61" s="2">
        <f>--3104.68</f>
        <v>3104.68</v>
      </c>
      <c r="L61" s="2">
        <f>--2983.61</f>
        <v>2983.61</v>
      </c>
      <c r="M61" s="2">
        <f>--2879.59</f>
        <v>2879.59</v>
      </c>
      <c r="N61" s="2"/>
      <c r="O61" s="2"/>
      <c r="Q61" s="2">
        <f>SUM(OSRRefD11_50x)+IFERROR(SUM(OSRRefE11_50x),0)</f>
        <v>19486.02</v>
      </c>
    </row>
    <row r="62" spans="1:17" s="9" customFormat="1" hidden="1" outlineLevel="1" x14ac:dyDescent="0.25">
      <c r="A62" s="23"/>
      <c r="B62" s="10" t="str">
        <f>CONCATENATE("          ","4185", " - ","NON-TAXABLE SALES-SOFTWARE")</f>
        <v xml:space="preserve">          4185 - NON-TAXABLE SALES-SOFTWARE</v>
      </c>
      <c r="C62" s="22"/>
      <c r="D62" s="2">
        <f>--6187.74</f>
        <v>6187.74</v>
      </c>
      <c r="E62" s="2">
        <f>--4610.75</f>
        <v>4610.75</v>
      </c>
      <c r="F62" s="2">
        <f>--8427.6</f>
        <v>8427.6</v>
      </c>
      <c r="G62" s="2">
        <f>--4590.76</f>
        <v>4590.76</v>
      </c>
      <c r="H62" s="2">
        <f>--1989.89</f>
        <v>1989.89</v>
      </c>
      <c r="I62" s="2">
        <f>--873.93</f>
        <v>873.93</v>
      </c>
      <c r="J62" s="2">
        <f>--3149.85</f>
        <v>3149.85</v>
      </c>
      <c r="K62" s="2">
        <f>--5296.67</f>
        <v>5296.67</v>
      </c>
      <c r="L62" s="2">
        <f>--3559.59</f>
        <v>3559.59</v>
      </c>
      <c r="M62" s="2">
        <f>--11345.61</f>
        <v>11345.61</v>
      </c>
      <c r="N62" s="2"/>
      <c r="O62" s="2"/>
      <c r="Q62" s="2">
        <f>SUM(OSRRefD11_51x)+IFERROR(SUM(OSRRefE11_51x),0)</f>
        <v>50032.39</v>
      </c>
    </row>
    <row r="63" spans="1:17" s="9" customFormat="1" hidden="1" outlineLevel="1" x14ac:dyDescent="0.25">
      <c r="A63" s="23"/>
      <c r="B63" s="10" t="str">
        <f>CONCATENATE("          ","4186", " - ","NON-TAXABLE SALES-COMPUTER SUP")</f>
        <v xml:space="preserve">          4186 - NON-TAXABLE SALES-COMPUTER SUP</v>
      </c>
      <c r="C63" s="22"/>
      <c r="D63" s="2">
        <f>--154.95</f>
        <v>154.94999999999999</v>
      </c>
      <c r="E63" s="2">
        <f>--257.95</f>
        <v>257.95</v>
      </c>
      <c r="F63" s="2">
        <f>--460.89</f>
        <v>460.89</v>
      </c>
      <c r="G63" s="2">
        <f>--855.98</f>
        <v>855.98</v>
      </c>
      <c r="H63" s="2">
        <f>--44</f>
        <v>44</v>
      </c>
      <c r="I63" s="2">
        <f>--176.22</f>
        <v>176.22</v>
      </c>
      <c r="J63" s="2">
        <f>--535.04</f>
        <v>535.04</v>
      </c>
      <c r="K63" s="2">
        <f>--345.23</f>
        <v>345.23</v>
      </c>
      <c r="L63" s="2">
        <f>--424.94</f>
        <v>424.94</v>
      </c>
      <c r="M63" s="2">
        <f>--89.97</f>
        <v>89.97</v>
      </c>
      <c r="N63" s="2"/>
      <c r="O63" s="2"/>
      <c r="Q63" s="2">
        <f>SUM(OSRRefD11_52x)+IFERROR(SUM(OSRRefE11_52x),0)</f>
        <v>3345.1699999999996</v>
      </c>
    </row>
    <row r="64" spans="1:17" s="9" customFormat="1" hidden="1" outlineLevel="1" x14ac:dyDescent="0.25">
      <c r="A64" s="23"/>
      <c r="B64" s="10" t="str">
        <f>CONCATENATE("          ","4201", " - ","SALES RETURN TAXABLE-NEW TEXT")</f>
        <v xml:space="preserve">          4201 - SALES RETURN TAXABLE-NEW TEXT</v>
      </c>
      <c r="C64" s="22"/>
      <c r="D64" s="2">
        <f>-633.4</f>
        <v>-633.4</v>
      </c>
      <c r="E64" s="2">
        <f>-18222.39</f>
        <v>-18222.39</v>
      </c>
      <c r="F64" s="2">
        <f>-13393.2</f>
        <v>-13393.2</v>
      </c>
      <c r="G64" s="2">
        <f>-1512.25</f>
        <v>-1512.25</v>
      </c>
      <c r="H64" s="2">
        <f>-1333.42</f>
        <v>-1333.42</v>
      </c>
      <c r="I64" s="2">
        <f>-681.18</f>
        <v>-681.18</v>
      </c>
      <c r="J64" s="2">
        <f>-12741.9</f>
        <v>-12741.9</v>
      </c>
      <c r="K64" s="2">
        <f>-2146.49</f>
        <v>-2146.4899999999998</v>
      </c>
      <c r="L64" s="2">
        <f>-596.94</f>
        <v>-596.94000000000005</v>
      </c>
      <c r="M64" s="2">
        <f>-376.85</f>
        <v>-376.85</v>
      </c>
      <c r="N64" s="2"/>
      <c r="O64" s="2"/>
      <c r="Q64" s="2">
        <f>SUM(OSRRefD11_53x)+IFERROR(SUM(OSRRefE11_53x),0)</f>
        <v>-51638.020000000004</v>
      </c>
    </row>
    <row r="65" spans="1:17" s="9" customFormat="1" hidden="1" outlineLevel="1" x14ac:dyDescent="0.25">
      <c r="A65" s="23"/>
      <c r="B65" s="10" t="str">
        <f>CONCATENATE("          ","4202", " - ","SALES RETURN TAXABLE-USED TEXT")</f>
        <v xml:space="preserve">          4202 - SALES RETURN TAXABLE-USED TEXT</v>
      </c>
      <c r="C65" s="22"/>
      <c r="D65" s="2">
        <f>-178.35</f>
        <v>-178.35</v>
      </c>
      <c r="E65" s="2">
        <f>-8869.4</f>
        <v>-8869.4</v>
      </c>
      <c r="F65" s="2">
        <f>-1345.2</f>
        <v>-1345.2</v>
      </c>
      <c r="G65" s="2">
        <f>-136.05</f>
        <v>-136.05000000000001</v>
      </c>
      <c r="H65" s="2">
        <f>-3274.35</f>
        <v>-3274.35</v>
      </c>
      <c r="I65" s="2">
        <f>-62.65</f>
        <v>-62.65</v>
      </c>
      <c r="J65" s="2">
        <f>-4670.3</f>
        <v>-4670.3</v>
      </c>
      <c r="K65" s="2">
        <f>-1199.21</f>
        <v>-1199.21</v>
      </c>
      <c r="L65" s="2">
        <f>-153.8</f>
        <v>-153.80000000000001</v>
      </c>
      <c r="M65" s="2">
        <f>-206.95</f>
        <v>-206.95</v>
      </c>
      <c r="N65" s="2"/>
      <c r="O65" s="2"/>
      <c r="Q65" s="2">
        <f>SUM(OSRRefD11_54x)+IFERROR(SUM(OSRRefE11_54x),0)</f>
        <v>-20096.259999999998</v>
      </c>
    </row>
    <row r="66" spans="1:17" s="9" customFormat="1" hidden="1" outlineLevel="1" x14ac:dyDescent="0.25">
      <c r="A66" s="23"/>
      <c r="B66" s="10" t="str">
        <f>CONCATENATE("          ","4204", " - ","SALES RETURN TAXABLE-DIGITAL T")</f>
        <v xml:space="preserve">          4204 - SALES RETURN TAXABLE-DIGITAL T</v>
      </c>
      <c r="C66" s="22"/>
      <c r="D66" s="2">
        <f t="shared" ref="D66:D68" si="21">0</f>
        <v>0</v>
      </c>
      <c r="E66" s="2">
        <f>-1141.08</f>
        <v>-1141.08</v>
      </c>
      <c r="F66" s="2">
        <f>-105.87</f>
        <v>-105.87</v>
      </c>
      <c r="G66" s="2">
        <f>-383.9</f>
        <v>-383.9</v>
      </c>
      <c r="H66" s="2">
        <f t="shared" ref="H66:J69" si="22">0</f>
        <v>0</v>
      </c>
      <c r="I66" s="2">
        <f t="shared" si="22"/>
        <v>0</v>
      </c>
      <c r="J66" s="2">
        <f t="shared" si="22"/>
        <v>0</v>
      </c>
      <c r="K66" s="2">
        <f>-132.25</f>
        <v>-132.25</v>
      </c>
      <c r="L66" s="2">
        <f t="shared" ref="L66:M67" si="23">0</f>
        <v>0</v>
      </c>
      <c r="M66" s="2">
        <f t="shared" si="23"/>
        <v>0</v>
      </c>
      <c r="N66" s="2"/>
      <c r="O66" s="2"/>
      <c r="Q66" s="2">
        <f>SUM(OSRRefD11_55x)+IFERROR(SUM(OSRRefE11_55x),0)</f>
        <v>-1763.1</v>
      </c>
    </row>
    <row r="67" spans="1:17" s="9" customFormat="1" hidden="1" outlineLevel="1" x14ac:dyDescent="0.25">
      <c r="A67" s="23"/>
      <c r="B67" s="10" t="str">
        <f>CONCATENATE("          ","4213", " - ","NON-TAXABLE SALES-TRADE BOOKS")</f>
        <v xml:space="preserve">          4213 - NON-TAXABLE SALES-TRADE BOOKS</v>
      </c>
      <c r="C67" s="22"/>
      <c r="D67" s="2">
        <f t="shared" si="21"/>
        <v>0</v>
      </c>
      <c r="E67" s="2">
        <f t="shared" ref="E67:E69" si="24">0</f>
        <v>0</v>
      </c>
      <c r="F67" s="2">
        <f t="shared" ref="F67:G68" si="25">0</f>
        <v>0</v>
      </c>
      <c r="G67" s="2">
        <f t="shared" si="25"/>
        <v>0</v>
      </c>
      <c r="H67" s="2">
        <f t="shared" si="22"/>
        <v>0</v>
      </c>
      <c r="I67" s="2">
        <f t="shared" si="22"/>
        <v>0</v>
      </c>
      <c r="J67" s="2">
        <f t="shared" si="22"/>
        <v>0</v>
      </c>
      <c r="K67" s="2">
        <f>-69.93</f>
        <v>-69.930000000000007</v>
      </c>
      <c r="L67" s="2">
        <f t="shared" si="23"/>
        <v>0</v>
      </c>
      <c r="M67" s="2">
        <f t="shared" si="23"/>
        <v>0</v>
      </c>
      <c r="N67" s="2"/>
      <c r="O67" s="2"/>
      <c r="Q67" s="2">
        <f>SUM(OSRRefD11_56x)+IFERROR(SUM(OSRRefE11_56x),0)</f>
        <v>-69.930000000000007</v>
      </c>
    </row>
    <row r="68" spans="1:17" s="9" customFormat="1" hidden="1" outlineLevel="1" x14ac:dyDescent="0.25">
      <c r="A68" s="23"/>
      <c r="B68" s="10" t="str">
        <f>CONCATENATE("          ","4218", " - ","SALES RETURN TAXABLE-STUDY GUI")</f>
        <v xml:space="preserve">          4218 - SALES RETURN TAXABLE-STUDY GUI</v>
      </c>
      <c r="C68" s="22"/>
      <c r="D68" s="2">
        <f t="shared" si="21"/>
        <v>0</v>
      </c>
      <c r="E68" s="2">
        <f t="shared" si="24"/>
        <v>0</v>
      </c>
      <c r="F68" s="2">
        <f t="shared" si="25"/>
        <v>0</v>
      </c>
      <c r="G68" s="2">
        <f t="shared" si="25"/>
        <v>0</v>
      </c>
      <c r="H68" s="2">
        <f t="shared" si="22"/>
        <v>0</v>
      </c>
      <c r="I68" s="2">
        <f t="shared" si="22"/>
        <v>0</v>
      </c>
      <c r="J68" s="2">
        <f t="shared" si="22"/>
        <v>0</v>
      </c>
      <c r="K68" s="2">
        <f t="shared" ref="K68:K69" si="26">0</f>
        <v>0</v>
      </c>
      <c r="L68" s="2">
        <f>-5.21</f>
        <v>-5.21</v>
      </c>
      <c r="M68" s="2">
        <f t="shared" ref="M68:M69" si="27">0</f>
        <v>0</v>
      </c>
      <c r="N68" s="2"/>
      <c r="O68" s="2"/>
      <c r="Q68" s="2">
        <f>SUM(OSRRefD11_57x)+IFERROR(SUM(OSRRefE11_57x),0)</f>
        <v>-5.21</v>
      </c>
    </row>
    <row r="69" spans="1:17" s="9" customFormat="1" hidden="1" outlineLevel="1" x14ac:dyDescent="0.25">
      <c r="A69" s="23"/>
      <c r="B69" s="10" t="str">
        <f>CONCATENATE("          ","4226", " - ","SALES RETURN TAXABLE-WRITING I")</f>
        <v xml:space="preserve">          4226 - SALES RETURN TAXABLE-WRITING I</v>
      </c>
      <c r="C69" s="22"/>
      <c r="D69" s="2">
        <f>-6.38</f>
        <v>-6.38</v>
      </c>
      <c r="E69" s="2">
        <f t="shared" si="24"/>
        <v>0</v>
      </c>
      <c r="F69" s="2">
        <f>-22.49</f>
        <v>-22.49</v>
      </c>
      <c r="G69" s="2">
        <f>-5.36</f>
        <v>-5.36</v>
      </c>
      <c r="H69" s="2">
        <f t="shared" si="22"/>
        <v>0</v>
      </c>
      <c r="I69" s="2">
        <f t="shared" si="22"/>
        <v>0</v>
      </c>
      <c r="J69" s="2">
        <f t="shared" si="22"/>
        <v>0</v>
      </c>
      <c r="K69" s="2">
        <f t="shared" si="26"/>
        <v>0</v>
      </c>
      <c r="L69" s="2">
        <f>0</f>
        <v>0</v>
      </c>
      <c r="M69" s="2">
        <f t="shared" si="27"/>
        <v>0</v>
      </c>
      <c r="N69" s="2"/>
      <c r="O69" s="2"/>
      <c r="Q69" s="2">
        <f>SUM(OSRRefD11_58x)+IFERROR(SUM(OSRRefE11_58x),0)</f>
        <v>-34.229999999999997</v>
      </c>
    </row>
    <row r="70" spans="1:17" s="9" customFormat="1" hidden="1" outlineLevel="1" x14ac:dyDescent="0.25">
      <c r="A70" s="23"/>
      <c r="B70" s="10" t="str">
        <f>CONCATENATE("          ","4227", " - ","SALES RETURN TAXABLE-SCHOOL SU")</f>
        <v xml:space="preserve">          4227 - SALES RETURN TAXABLE-SCHOOL SU</v>
      </c>
      <c r="C70" s="22"/>
      <c r="D70" s="2">
        <f>-56.77</f>
        <v>-56.77</v>
      </c>
      <c r="E70" s="2">
        <f>-359.61</f>
        <v>-359.61</v>
      </c>
      <c r="F70" s="2">
        <f>-152.29</f>
        <v>-152.29</v>
      </c>
      <c r="G70" s="2">
        <f>-9.99</f>
        <v>-9.99</v>
      </c>
      <c r="H70" s="2">
        <f>-31.98</f>
        <v>-31.98</v>
      </c>
      <c r="I70" s="2">
        <f>-25.82</f>
        <v>-25.82</v>
      </c>
      <c r="J70" s="2">
        <f>-126.22</f>
        <v>-126.22</v>
      </c>
      <c r="K70" s="2">
        <f>-19.05</f>
        <v>-19.05</v>
      </c>
      <c r="L70" s="2">
        <f>-64.39</f>
        <v>-64.39</v>
      </c>
      <c r="M70" s="2">
        <f>-500.54</f>
        <v>-500.54</v>
      </c>
      <c r="N70" s="2"/>
      <c r="O70" s="2"/>
      <c r="Q70" s="2">
        <f>SUM(OSRRefD11_59x)+IFERROR(SUM(OSRRefE11_59x),0)</f>
        <v>-1346.66</v>
      </c>
    </row>
    <row r="71" spans="1:17" s="9" customFormat="1" hidden="1" outlineLevel="1" x14ac:dyDescent="0.25">
      <c r="A71" s="23"/>
      <c r="B71" s="10" t="str">
        <f>CONCATENATE("          ","4228", " - ","SALES RETURN TAXABLE-ART/TECH")</f>
        <v xml:space="preserve">          4228 - SALES RETURN TAXABLE-ART/TECH</v>
      </c>
      <c r="C71" s="22"/>
      <c r="D71" s="2">
        <f>0</f>
        <v>0</v>
      </c>
      <c r="E71" s="2">
        <f>-164.44</f>
        <v>-164.44</v>
      </c>
      <c r="F71" s="2">
        <f>-57.76</f>
        <v>-57.76</v>
      </c>
      <c r="G71" s="2">
        <f>0</f>
        <v>0</v>
      </c>
      <c r="H71" s="2">
        <f>-32.49</f>
        <v>-32.49</v>
      </c>
      <c r="I71" s="2">
        <f>0</f>
        <v>0</v>
      </c>
      <c r="J71" s="2">
        <f>-12473.84</f>
        <v>-12473.84</v>
      </c>
      <c r="K71" s="2">
        <f>-10.71</f>
        <v>-10.71</v>
      </c>
      <c r="L71" s="2">
        <f>-98.38</f>
        <v>-98.38</v>
      </c>
      <c r="M71" s="2">
        <f>-136.11</f>
        <v>-136.11000000000001</v>
      </c>
      <c r="N71" s="2"/>
      <c r="O71" s="2"/>
      <c r="Q71" s="2">
        <f>SUM(OSRRefD11_60x)+IFERROR(SUM(OSRRefE11_60x),0)</f>
        <v>-12973.73</v>
      </c>
    </row>
    <row r="72" spans="1:17" s="9" customFormat="1" hidden="1" outlineLevel="1" x14ac:dyDescent="0.25">
      <c r="A72" s="23"/>
      <c r="B72" s="10" t="str">
        <f>CONCATENATE("          ","4240", " - ","SALES RETURN TAXABLE-LOGO CLOT")</f>
        <v xml:space="preserve">          4240 - SALES RETURN TAXABLE-LOGO CLOT</v>
      </c>
      <c r="C72" s="22"/>
      <c r="D72" s="2">
        <f>-3368.1</f>
        <v>-3368.1</v>
      </c>
      <c r="E72" s="2">
        <f>-4788.72</f>
        <v>-4788.72</v>
      </c>
      <c r="F72" s="2">
        <f>-3453.14</f>
        <v>-3453.14</v>
      </c>
      <c r="G72" s="2">
        <f>-2239.56</f>
        <v>-2239.56</v>
      </c>
      <c r="H72" s="2">
        <f>-1729.15</f>
        <v>-1729.15</v>
      </c>
      <c r="I72" s="2">
        <f>-4840.17</f>
        <v>-4840.17</v>
      </c>
      <c r="J72" s="2">
        <f>-7168.03</f>
        <v>-7168.03</v>
      </c>
      <c r="K72" s="2">
        <f>-3542.64</f>
        <v>-3542.64</v>
      </c>
      <c r="L72" s="2">
        <f>-3924.84</f>
        <v>-3924.84</v>
      </c>
      <c r="M72" s="2">
        <f>-5611.92</f>
        <v>-5611.92</v>
      </c>
      <c r="N72" s="2"/>
      <c r="O72" s="2"/>
      <c r="Q72" s="2">
        <f>SUM(OSRRefD11_61x)+IFERROR(SUM(OSRRefE11_61x),0)</f>
        <v>-40666.26999999999</v>
      </c>
    </row>
    <row r="73" spans="1:17" s="9" customFormat="1" hidden="1" outlineLevel="1" x14ac:dyDescent="0.25">
      <c r="A73" s="23"/>
      <c r="B73" s="10" t="str">
        <f>CONCATENATE("          ","4241", " - ","SALES RETURN TAXABLE-LOGO GIFT")</f>
        <v xml:space="preserve">          4241 - SALES RETURN TAXABLE-LOGO GIFT</v>
      </c>
      <c r="C73" s="22"/>
      <c r="D73" s="2">
        <f>-341.98</f>
        <v>-341.98</v>
      </c>
      <c r="E73" s="2">
        <f>-986.21</f>
        <v>-986.21</v>
      </c>
      <c r="F73" s="2">
        <f>-988.92</f>
        <v>-988.92</v>
      </c>
      <c r="G73" s="2">
        <f>-379.45</f>
        <v>-379.45</v>
      </c>
      <c r="H73" s="2">
        <f>-108.29</f>
        <v>-108.29</v>
      </c>
      <c r="I73" s="2">
        <f>-755.16</f>
        <v>-755.16</v>
      </c>
      <c r="J73" s="2">
        <f>-1397.46</f>
        <v>-1397.46</v>
      </c>
      <c r="K73" s="2">
        <f>-338.05</f>
        <v>-338.05</v>
      </c>
      <c r="L73" s="2">
        <f>-1222.82</f>
        <v>-1222.82</v>
      </c>
      <c r="M73" s="2">
        <f>-5656.91</f>
        <v>-5656.91</v>
      </c>
      <c r="N73" s="2"/>
      <c r="O73" s="2"/>
      <c r="Q73" s="2">
        <f>SUM(OSRRefD11_62x)+IFERROR(SUM(OSRRefE11_62x),0)</f>
        <v>-12175.25</v>
      </c>
    </row>
    <row r="74" spans="1:17" s="9" customFormat="1" hidden="1" outlineLevel="1" x14ac:dyDescent="0.25">
      <c r="A74" s="23"/>
      <c r="B74" s="10" t="str">
        <f>CONCATENATE("          ","4242", " - ","SALES RETURN TAXABLE-EVERYDAY")</f>
        <v xml:space="preserve">          4242 - SALES RETURN TAXABLE-EVERYDAY</v>
      </c>
      <c r="C74" s="22"/>
      <c r="D74" s="2">
        <f>-178.96</f>
        <v>-178.96</v>
      </c>
      <c r="E74" s="2">
        <f>-470.53</f>
        <v>-470.53</v>
      </c>
      <c r="F74" s="2">
        <f>-405.07</f>
        <v>-405.07</v>
      </c>
      <c r="G74" s="2">
        <f>-266.95</f>
        <v>-266.95</v>
      </c>
      <c r="H74" s="2">
        <f>-7.48</f>
        <v>-7.48</v>
      </c>
      <c r="I74" s="2">
        <f>-287.93</f>
        <v>-287.93</v>
      </c>
      <c r="J74" s="2">
        <f>-76.86</f>
        <v>-76.86</v>
      </c>
      <c r="K74" s="2">
        <f>-44.96</f>
        <v>-44.96</v>
      </c>
      <c r="L74" s="2">
        <f>-565.08</f>
        <v>-565.08000000000004</v>
      </c>
      <c r="M74" s="2">
        <f>-332.27</f>
        <v>-332.27</v>
      </c>
      <c r="N74" s="2"/>
      <c r="O74" s="2"/>
      <c r="Q74" s="2">
        <f>SUM(OSRRefD11_63x)+IFERROR(SUM(OSRRefE11_63x),0)</f>
        <v>-2636.09</v>
      </c>
    </row>
    <row r="75" spans="1:17" s="9" customFormat="1" hidden="1" outlineLevel="1" x14ac:dyDescent="0.25">
      <c r="A75" s="23"/>
      <c r="B75" s="10" t="str">
        <f>CONCATENATE("          ","4243", " - ","SALES RETURN TAXABLE-CARDS")</f>
        <v xml:space="preserve">          4243 - SALES RETURN TAXABLE-CARDS</v>
      </c>
      <c r="C75" s="22"/>
      <c r="D75" s="2">
        <f t="shared" ref="D75:D76" si="28">0</f>
        <v>0</v>
      </c>
      <c r="E75" s="2">
        <f>-93.43</f>
        <v>-93.43</v>
      </c>
      <c r="F75" s="2">
        <f>-59.94</f>
        <v>-59.94</v>
      </c>
      <c r="G75" s="2">
        <f>-829.55</f>
        <v>-829.55</v>
      </c>
      <c r="H75" s="2">
        <f>-829.54</f>
        <v>-829.54</v>
      </c>
      <c r="I75" s="2">
        <f>-1765.08</f>
        <v>-1765.08</v>
      </c>
      <c r="J75" s="2">
        <f>-1422.25</f>
        <v>-1422.25</v>
      </c>
      <c r="K75" s="2">
        <f>-369.81</f>
        <v>-369.81</v>
      </c>
      <c r="L75" s="2">
        <f>-572.63</f>
        <v>-572.63</v>
      </c>
      <c r="M75" s="2">
        <f>-199.86</f>
        <v>-199.86</v>
      </c>
      <c r="N75" s="2"/>
      <c r="O75" s="2"/>
      <c r="Q75" s="2">
        <f>SUM(OSRRefD11_64x)+IFERROR(SUM(OSRRefE11_64x),0)</f>
        <v>-6142.09</v>
      </c>
    </row>
    <row r="76" spans="1:17" s="9" customFormat="1" hidden="1" outlineLevel="1" x14ac:dyDescent="0.25">
      <c r="A76" s="23"/>
      <c r="B76" s="10" t="str">
        <f>CONCATENATE("          ","4244", " - ","SALES RETURN TAXABLE-ACCESSORI")</f>
        <v xml:space="preserve">          4244 - SALES RETURN TAXABLE-ACCESSORI</v>
      </c>
      <c r="C76" s="22"/>
      <c r="D76" s="2">
        <f t="shared" si="28"/>
        <v>0</v>
      </c>
      <c r="E76" s="2">
        <f>-350.99</f>
        <v>-350.99</v>
      </c>
      <c r="F76" s="2">
        <f>-60</f>
        <v>-60</v>
      </c>
      <c r="G76" s="2">
        <f>0</f>
        <v>0</v>
      </c>
      <c r="H76" s="2">
        <f>-179.95</f>
        <v>-179.95</v>
      </c>
      <c r="I76" s="2">
        <f>-299.93</f>
        <v>-299.93</v>
      </c>
      <c r="J76" s="2">
        <f>-93.98</f>
        <v>-93.98</v>
      </c>
      <c r="K76" s="2">
        <f>-9.99</f>
        <v>-9.99</v>
      </c>
      <c r="L76" s="2">
        <f>-240.42</f>
        <v>-240.42</v>
      </c>
      <c r="M76" s="2">
        <f>-8.24</f>
        <v>-8.24</v>
      </c>
      <c r="N76" s="2"/>
      <c r="O76" s="2"/>
      <c r="Q76" s="2">
        <f>SUM(OSRRefD11_65x)+IFERROR(SUM(OSRRefE11_65x),0)</f>
        <v>-1243.5000000000002</v>
      </c>
    </row>
    <row r="77" spans="1:17" s="9" customFormat="1" hidden="1" outlineLevel="1" x14ac:dyDescent="0.25">
      <c r="A77" s="23"/>
      <c r="B77" s="10" t="str">
        <f>CONCATENATE("          ","4245", " - ","SALES RETURN TAXABLE-SPECIAL O")</f>
        <v xml:space="preserve">          4245 - SALES RETURN TAXABLE-SPECIAL O</v>
      </c>
      <c r="C77" s="22"/>
      <c r="D77" s="2">
        <f>-1121</f>
        <v>-1121</v>
      </c>
      <c r="E77" s="2">
        <f>-57.96</f>
        <v>-57.96</v>
      </c>
      <c r="F77" s="2">
        <f>-3.99</f>
        <v>-3.99</v>
      </c>
      <c r="G77" s="2">
        <f>-363.98</f>
        <v>-363.98</v>
      </c>
      <c r="H77" s="2">
        <f>-45.89</f>
        <v>-45.89</v>
      </c>
      <c r="I77" s="2">
        <f>-9752.79</f>
        <v>-9752.7900000000009</v>
      </c>
      <c r="J77" s="2">
        <f>0</f>
        <v>0</v>
      </c>
      <c r="K77" s="2">
        <f>-7.98</f>
        <v>-7.98</v>
      </c>
      <c r="L77" s="2">
        <f t="shared" ref="L77:L78" si="29">0</f>
        <v>0</v>
      </c>
      <c r="M77" s="2">
        <f>-4071.14</f>
        <v>-4071.14</v>
      </c>
      <c r="N77" s="2"/>
      <c r="O77" s="2"/>
      <c r="Q77" s="2">
        <f>SUM(OSRRefD11_66x)+IFERROR(SUM(OSRRefE11_66x),0)</f>
        <v>-15424.73</v>
      </c>
    </row>
    <row r="78" spans="1:17" s="9" customFormat="1" hidden="1" outlineLevel="1" x14ac:dyDescent="0.25">
      <c r="A78" s="23"/>
      <c r="B78" s="10" t="str">
        <f>CONCATENATE("          ","4281", " - ","SALES RETURN TAXABLE-ELECTRONI")</f>
        <v xml:space="preserve">          4281 - SALES RETURN TAXABLE-ELECTRONI</v>
      </c>
      <c r="C78" s="22"/>
      <c r="D78" s="2">
        <f>-6291.99</f>
        <v>-6291.99</v>
      </c>
      <c r="E78" s="2">
        <f>-7424.23</f>
        <v>-7424.23</v>
      </c>
      <c r="F78" s="2">
        <f>-557.94</f>
        <v>-557.94000000000005</v>
      </c>
      <c r="G78" s="2">
        <f>-357.99</f>
        <v>-357.99</v>
      </c>
      <c r="H78" s="2">
        <f t="shared" ref="H78:I78" si="30">0</f>
        <v>0</v>
      </c>
      <c r="I78" s="2">
        <f t="shared" si="30"/>
        <v>0</v>
      </c>
      <c r="J78" s="2">
        <f>-129.99</f>
        <v>-129.99</v>
      </c>
      <c r="K78" s="2">
        <f>0</f>
        <v>0</v>
      </c>
      <c r="L78" s="2">
        <f t="shared" si="29"/>
        <v>0</v>
      </c>
      <c r="M78" s="2">
        <f>0</f>
        <v>0</v>
      </c>
      <c r="N78" s="2"/>
      <c r="O78" s="2"/>
      <c r="Q78" s="2">
        <f>SUM(OSRRefD11_67x)+IFERROR(SUM(OSRRefE11_67x),0)</f>
        <v>-14762.14</v>
      </c>
    </row>
    <row r="79" spans="1:17" s="9" customFormat="1" hidden="1" outlineLevel="1" x14ac:dyDescent="0.25">
      <c r="A79" s="23"/>
      <c r="B79" s="10" t="str">
        <f>CONCATENATE("          ","4282", " - ","SALES RETURN TAXABLE-COMPUTER")</f>
        <v xml:space="preserve">          4282 - SALES RETURN TAXABLE-COMPUTER</v>
      </c>
      <c r="C79" s="22"/>
      <c r="D79" s="2">
        <f>-18207</f>
        <v>-18207</v>
      </c>
      <c r="E79" s="2">
        <f>-15442</f>
        <v>-15442</v>
      </c>
      <c r="F79" s="2">
        <f>-14636</f>
        <v>-14636</v>
      </c>
      <c r="G79" s="2">
        <f>-20038</f>
        <v>-20038</v>
      </c>
      <c r="H79" s="2">
        <f>-15761.01</f>
        <v>-15761.01</v>
      </c>
      <c r="I79" s="2">
        <f>-7936</f>
        <v>-7936</v>
      </c>
      <c r="J79" s="2">
        <f>-4897</f>
        <v>-4897</v>
      </c>
      <c r="K79" s="2">
        <f>-32711.15</f>
        <v>-32711.15</v>
      </c>
      <c r="L79" s="2">
        <f>-43137</f>
        <v>-43137</v>
      </c>
      <c r="M79" s="2">
        <f>-42380</f>
        <v>-42380</v>
      </c>
      <c r="N79" s="2"/>
      <c r="O79" s="2"/>
      <c r="Q79" s="2">
        <f>SUM(OSRRefD11_68x)+IFERROR(SUM(OSRRefE11_68x),0)</f>
        <v>-215145.16</v>
      </c>
    </row>
    <row r="80" spans="1:17" s="9" customFormat="1" hidden="1" outlineLevel="1" x14ac:dyDescent="0.25">
      <c r="A80" s="23"/>
      <c r="B80" s="10" t="str">
        <f>CONCATENATE("          ","4283", " - ","SALES RETURN TAXABLE-COMPUTER")</f>
        <v xml:space="preserve">          4283 - SALES RETURN TAXABLE-COMPUTER</v>
      </c>
      <c r="C80" s="22"/>
      <c r="D80" s="2">
        <f>-818.93</f>
        <v>-818.93</v>
      </c>
      <c r="E80" s="2">
        <f>-699.9</f>
        <v>-699.9</v>
      </c>
      <c r="F80" s="2">
        <f>-483.9</f>
        <v>-483.9</v>
      </c>
      <c r="G80" s="2">
        <f>-629.58</f>
        <v>-629.58000000000004</v>
      </c>
      <c r="H80" s="2">
        <f>-678.96</f>
        <v>-678.96</v>
      </c>
      <c r="I80" s="2">
        <f>-99.99</f>
        <v>-99.99</v>
      </c>
      <c r="J80" s="2">
        <f>--264.97</f>
        <v>264.97000000000003</v>
      </c>
      <c r="K80" s="2">
        <f>-212.99</f>
        <v>-212.99</v>
      </c>
      <c r="L80" s="2">
        <f>-389.97</f>
        <v>-389.97</v>
      </c>
      <c r="M80" s="2">
        <f>-197.95</f>
        <v>-197.95</v>
      </c>
      <c r="N80" s="2"/>
      <c r="O80" s="2"/>
      <c r="Q80" s="2">
        <f>SUM(OSRRefD11_69x)+IFERROR(SUM(OSRRefE11_69x),0)</f>
        <v>-3947.2</v>
      </c>
    </row>
    <row r="81" spans="1:17" s="9" customFormat="1" hidden="1" outlineLevel="1" x14ac:dyDescent="0.25">
      <c r="A81" s="23"/>
      <c r="B81" s="10" t="str">
        <f>CONCATENATE("          ","4285", " - ","SALES RETURN TAXABLE-SOFTWARE")</f>
        <v xml:space="preserve">          4285 - SALES RETURN TAXABLE-SOFTWARE</v>
      </c>
      <c r="C81" s="22"/>
      <c r="D81" s="2">
        <f t="shared" ref="D81:D83" si="31">0</f>
        <v>0</v>
      </c>
      <c r="E81" s="2">
        <f>0</f>
        <v>0</v>
      </c>
      <c r="F81" s="2">
        <f>-552.98</f>
        <v>-552.98</v>
      </c>
      <c r="G81" s="2">
        <f>0</f>
        <v>0</v>
      </c>
      <c r="H81" s="2">
        <f>-139</f>
        <v>-139</v>
      </c>
      <c r="I81" s="2">
        <f t="shared" ref="I81:J81" si="32">0</f>
        <v>0</v>
      </c>
      <c r="J81" s="2">
        <f t="shared" si="32"/>
        <v>0</v>
      </c>
      <c r="K81" s="2">
        <f t="shared" ref="K81:L81" si="33">-149.99</f>
        <v>-149.99</v>
      </c>
      <c r="L81" s="2">
        <f t="shared" si="33"/>
        <v>-149.99</v>
      </c>
      <c r="M81" s="2">
        <f>-99.83</f>
        <v>-99.83</v>
      </c>
      <c r="N81" s="2"/>
      <c r="O81" s="2"/>
      <c r="Q81" s="2">
        <f>SUM(OSRRefD11_70x)+IFERROR(SUM(OSRRefE11_70x),0)</f>
        <v>-1091.79</v>
      </c>
    </row>
    <row r="82" spans="1:17" s="9" customFormat="1" hidden="1" outlineLevel="1" x14ac:dyDescent="0.25">
      <c r="A82" s="23"/>
      <c r="B82" s="10" t="str">
        <f>CONCATENATE("          ","4286", " - ","SALES RETURN TAXABLE-COMPUTER")</f>
        <v xml:space="preserve">          4286 - SALES RETURN TAXABLE-COMPUTER</v>
      </c>
      <c r="C82" s="22"/>
      <c r="D82" s="2">
        <f t="shared" si="31"/>
        <v>0</v>
      </c>
      <c r="E82" s="2">
        <f>-153.96</f>
        <v>-153.96</v>
      </c>
      <c r="F82" s="2">
        <f>-258.44</f>
        <v>-258.44</v>
      </c>
      <c r="G82" s="2">
        <f>-158.96</f>
        <v>-158.96</v>
      </c>
      <c r="H82" s="2">
        <f>-9.99</f>
        <v>-9.99</v>
      </c>
      <c r="I82" s="2">
        <f>-4127</f>
        <v>-4127</v>
      </c>
      <c r="J82" s="2">
        <f>-18.99</f>
        <v>-18.989999999999998</v>
      </c>
      <c r="K82" s="2">
        <f>-34.97</f>
        <v>-34.97</v>
      </c>
      <c r="L82" s="2">
        <f>-39.98</f>
        <v>-39.979999999999997</v>
      </c>
      <c r="M82" s="2">
        <f>0</f>
        <v>0</v>
      </c>
      <c r="N82" s="2"/>
      <c r="O82" s="2"/>
      <c r="Q82" s="2">
        <f>SUM(OSRRefD11_71x)+IFERROR(SUM(OSRRefE11_71x),0)</f>
        <v>-4802.29</v>
      </c>
    </row>
    <row r="83" spans="1:17" s="9" customFormat="1" hidden="1" outlineLevel="1" x14ac:dyDescent="0.25">
      <c r="A83" s="23"/>
      <c r="B83" s="10" t="str">
        <f>CONCATENATE("          ","4301", " - ","SALES RETURN NON TAXABLE-NEW T")</f>
        <v xml:space="preserve">          4301 - SALES RETURN NON TAXABLE-NEW T</v>
      </c>
      <c r="C83" s="22"/>
      <c r="D83" s="2">
        <f t="shared" si="31"/>
        <v>0</v>
      </c>
      <c r="E83" s="2">
        <f>-20.25</f>
        <v>-20.25</v>
      </c>
      <c r="F83" s="2">
        <f>-1820.43</f>
        <v>-1820.43</v>
      </c>
      <c r="G83" s="2">
        <f>-535.49</f>
        <v>-535.49</v>
      </c>
      <c r="H83" s="2">
        <f>0</f>
        <v>0</v>
      </c>
      <c r="I83" s="2">
        <f>-372.93</f>
        <v>-372.93</v>
      </c>
      <c r="J83" s="2">
        <f>-256.69</f>
        <v>-256.69</v>
      </c>
      <c r="K83" s="2">
        <f>-231.5</f>
        <v>-231.5</v>
      </c>
      <c r="L83" s="2">
        <f>0</f>
        <v>0</v>
      </c>
      <c r="M83" s="2">
        <f>-225.91</f>
        <v>-225.91</v>
      </c>
      <c r="N83" s="2"/>
      <c r="O83" s="2"/>
      <c r="Q83" s="2">
        <f>SUM(OSRRefD11_72x)+IFERROR(SUM(OSRRefE11_72x),0)</f>
        <v>-3463.2</v>
      </c>
    </row>
    <row r="84" spans="1:17" s="9" customFormat="1" hidden="1" outlineLevel="1" x14ac:dyDescent="0.25">
      <c r="A84" s="23"/>
      <c r="B84" s="10" t="str">
        <f>CONCATENATE("          ","4302", " - ","SALES RETURN NON TAXABLE-TEXT")</f>
        <v xml:space="preserve">          4302 - SALES RETURN NON TAXABLE-TEXT</v>
      </c>
      <c r="C84" s="22"/>
      <c r="D84" s="2">
        <f>-63.67</f>
        <v>-63.67</v>
      </c>
      <c r="E84" s="2">
        <f>-346.17</f>
        <v>-346.17</v>
      </c>
      <c r="F84" s="2">
        <f>-737.24</f>
        <v>-737.24</v>
      </c>
      <c r="G84" s="2">
        <f>-169.72</f>
        <v>-169.72</v>
      </c>
      <c r="H84" s="2">
        <f>-76.05</f>
        <v>-76.05</v>
      </c>
      <c r="I84" s="2">
        <f>-77.35</f>
        <v>-77.349999999999994</v>
      </c>
      <c r="J84" s="2">
        <f>-532.96</f>
        <v>-532.96</v>
      </c>
      <c r="K84" s="2">
        <f>-70.32</f>
        <v>-70.319999999999993</v>
      </c>
      <c r="L84" s="2">
        <f>-270.87</f>
        <v>-270.87</v>
      </c>
      <c r="M84" s="2">
        <f>-98.97</f>
        <v>-98.97</v>
      </c>
      <c r="N84" s="2"/>
      <c r="O84" s="2"/>
      <c r="Q84" s="2">
        <f>SUM(OSRRefD11_73x)+IFERROR(SUM(OSRRefE11_73x),0)</f>
        <v>-2443.3199999999997</v>
      </c>
    </row>
    <row r="85" spans="1:17" s="9" customFormat="1" hidden="1" outlineLevel="1" x14ac:dyDescent="0.25">
      <c r="A85" s="23"/>
      <c r="B85" s="10" t="str">
        <f>CONCATENATE("          ","4304", " - ","SALES RETURN NON TAXABLE-DIGIT")</f>
        <v xml:space="preserve">          4304 - SALES RETURN NON TAXABLE-DIGIT</v>
      </c>
      <c r="C85" s="22"/>
      <c r="D85" s="2">
        <f>-452.05</f>
        <v>-452.05</v>
      </c>
      <c r="E85" s="2">
        <f>-5500.68</f>
        <v>-5500.68</v>
      </c>
      <c r="F85" s="2">
        <f>-7456.63</f>
        <v>-7456.63</v>
      </c>
      <c r="G85" s="2">
        <f>-692.75</f>
        <v>-692.75</v>
      </c>
      <c r="H85" s="2">
        <f>-176.43</f>
        <v>-176.43</v>
      </c>
      <c r="I85" s="2">
        <f>-144.23</f>
        <v>-144.22999999999999</v>
      </c>
      <c r="J85" s="2">
        <f>-10673</f>
        <v>-10673</v>
      </c>
      <c r="K85" s="2">
        <f>-2172.95</f>
        <v>-2172.9499999999998</v>
      </c>
      <c r="L85" s="2">
        <f>-275.04</f>
        <v>-275.04000000000002</v>
      </c>
      <c r="M85" s="2">
        <f>0</f>
        <v>0</v>
      </c>
      <c r="N85" s="2"/>
      <c r="O85" s="2"/>
      <c r="Q85" s="2">
        <f>SUM(OSRRefD11_74x)+IFERROR(SUM(OSRRefE11_74x),0)</f>
        <v>-27543.760000000002</v>
      </c>
    </row>
    <row r="86" spans="1:17" s="9" customFormat="1" hidden="1" outlineLevel="1" x14ac:dyDescent="0.25">
      <c r="A86" s="23"/>
      <c r="B86" s="10" t="str">
        <f>CONCATENATE("          ","4340", " - ","SALES RETURN NON TAXABLE-LOGO")</f>
        <v xml:space="preserve">          4340 - SALES RETURN NON TAXABLE-LOGO</v>
      </c>
      <c r="C86" s="22"/>
      <c r="D86" s="2">
        <f>-434.24</f>
        <v>-434.24</v>
      </c>
      <c r="E86" s="2">
        <f>-69.9</f>
        <v>-69.900000000000006</v>
      </c>
      <c r="F86" s="2">
        <f>-36.9</f>
        <v>-36.9</v>
      </c>
      <c r="G86" s="2">
        <f>-195.69</f>
        <v>-195.69</v>
      </c>
      <c r="H86" s="2">
        <f>-203.75</f>
        <v>-203.75</v>
      </c>
      <c r="I86" s="2">
        <f>-543.24</f>
        <v>-543.24</v>
      </c>
      <c r="J86" s="2">
        <f>-732.22</f>
        <v>-732.22</v>
      </c>
      <c r="K86" s="2">
        <f>-76.9</f>
        <v>-76.900000000000006</v>
      </c>
      <c r="L86" s="2">
        <f>-350.55</f>
        <v>-350.55</v>
      </c>
      <c r="M86" s="2">
        <f>-664.13</f>
        <v>-664.13</v>
      </c>
      <c r="N86" s="2"/>
      <c r="O86" s="2"/>
      <c r="Q86" s="2">
        <f>SUM(OSRRefD11_75x)+IFERROR(SUM(OSRRefE11_75x),0)</f>
        <v>-3307.5200000000004</v>
      </c>
    </row>
    <row r="87" spans="1:17" s="9" customFormat="1" hidden="1" outlineLevel="1" x14ac:dyDescent="0.25">
      <c r="A87" s="23"/>
      <c r="B87" s="10" t="str">
        <f>CONCATENATE("          ","4341", " - ","SALES RETURN NON TAXABLE-LOGO")</f>
        <v xml:space="preserve">          4341 - SALES RETURN NON TAXABLE-LOGO</v>
      </c>
      <c r="C87" s="22"/>
      <c r="D87" s="2">
        <f>-16.95</f>
        <v>-16.95</v>
      </c>
      <c r="E87" s="2">
        <f>0</f>
        <v>0</v>
      </c>
      <c r="F87" s="2">
        <f>-129.95</f>
        <v>-129.94999999999999</v>
      </c>
      <c r="G87" s="2">
        <f t="shared" ref="G87:G90" si="34">0</f>
        <v>0</v>
      </c>
      <c r="H87" s="2">
        <f>-154.89</f>
        <v>-154.88999999999999</v>
      </c>
      <c r="I87" s="2">
        <f>-33.85</f>
        <v>-33.85</v>
      </c>
      <c r="J87" s="2">
        <f>-27</f>
        <v>-27</v>
      </c>
      <c r="K87" s="2">
        <f t="shared" ref="K87:K90" si="35">0</f>
        <v>0</v>
      </c>
      <c r="L87" s="2">
        <f>-29.9</f>
        <v>-29.9</v>
      </c>
      <c r="M87" s="2">
        <f>-9.9</f>
        <v>-9.9</v>
      </c>
      <c r="N87" s="2"/>
      <c r="O87" s="2"/>
      <c r="Q87" s="2">
        <f>SUM(OSRRefD11_76x)+IFERROR(SUM(OSRRefE11_76x),0)</f>
        <v>-402.43999999999994</v>
      </c>
    </row>
    <row r="88" spans="1:17" s="9" customFormat="1" hidden="1" outlineLevel="1" x14ac:dyDescent="0.25">
      <c r="A88" s="23"/>
      <c r="B88" s="10" t="str">
        <f>CONCATENATE("          ","4342", " - ","SALES RETURN NON TAXABLE-EVERY")</f>
        <v xml:space="preserve">          4342 - SALES RETURN NON TAXABLE-EVERY</v>
      </c>
      <c r="C88" s="22"/>
      <c r="D88" s="2">
        <f>-79.85</f>
        <v>-79.849999999999994</v>
      </c>
      <c r="E88" s="2">
        <f>-13.9</f>
        <v>-13.9</v>
      </c>
      <c r="F88" s="2">
        <f>-24.95</f>
        <v>-24.95</v>
      </c>
      <c r="G88" s="2">
        <f t="shared" si="34"/>
        <v>0</v>
      </c>
      <c r="H88" s="2">
        <f t="shared" ref="H88:J90" si="36">0</f>
        <v>0</v>
      </c>
      <c r="I88" s="2">
        <f t="shared" si="36"/>
        <v>0</v>
      </c>
      <c r="J88" s="2">
        <f t="shared" si="36"/>
        <v>0</v>
      </c>
      <c r="K88" s="2">
        <f t="shared" si="35"/>
        <v>0</v>
      </c>
      <c r="L88" s="2">
        <f t="shared" ref="L88:L90" si="37">0</f>
        <v>0</v>
      </c>
      <c r="M88" s="2">
        <f t="shared" ref="M88:M89" si="38">0</f>
        <v>0</v>
      </c>
      <c r="N88" s="2"/>
      <c r="O88" s="2"/>
      <c r="Q88" s="2">
        <f>SUM(OSRRefD11_77x)+IFERROR(SUM(OSRRefE11_77x),0)</f>
        <v>-118.7</v>
      </c>
    </row>
    <row r="89" spans="1:17" s="9" customFormat="1" hidden="1" outlineLevel="1" x14ac:dyDescent="0.25">
      <c r="A89" s="23"/>
      <c r="B89" s="10" t="str">
        <f>CONCATENATE("          ","4381", " - ","SALES RETURN NON TAXABLE-ELECT")</f>
        <v xml:space="preserve">          4381 - SALES RETURN NON TAXABLE-ELECT</v>
      </c>
      <c r="C89" s="22"/>
      <c r="D89" s="2">
        <f>-1749</f>
        <v>-1749</v>
      </c>
      <c r="E89" s="2">
        <f>-3625.2</f>
        <v>-3625.2</v>
      </c>
      <c r="F89" s="2">
        <f>-249.95</f>
        <v>-249.95</v>
      </c>
      <c r="G89" s="2">
        <f t="shared" si="34"/>
        <v>0</v>
      </c>
      <c r="H89" s="2">
        <f t="shared" si="36"/>
        <v>0</v>
      </c>
      <c r="I89" s="2">
        <f t="shared" si="36"/>
        <v>0</v>
      </c>
      <c r="J89" s="2">
        <f t="shared" si="36"/>
        <v>0</v>
      </c>
      <c r="K89" s="2">
        <f t="shared" si="35"/>
        <v>0</v>
      </c>
      <c r="L89" s="2">
        <f t="shared" si="37"/>
        <v>0</v>
      </c>
      <c r="M89" s="2">
        <f t="shared" si="38"/>
        <v>0</v>
      </c>
      <c r="N89" s="2"/>
      <c r="O89" s="2"/>
      <c r="Q89" s="2">
        <f>SUM(OSRRefD11_78x)+IFERROR(SUM(OSRRefE11_78x),0)</f>
        <v>-5624.15</v>
      </c>
    </row>
    <row r="90" spans="1:17" s="9" customFormat="1" hidden="1" outlineLevel="1" x14ac:dyDescent="0.25">
      <c r="A90" s="23"/>
      <c r="B90" s="10" t="str">
        <f>CONCATENATE("          ","4383", " - ","SALES RETURN NON TAXABLE-COMPU")</f>
        <v xml:space="preserve">          4383 - SALES RETURN NON TAXABLE-COMPU</v>
      </c>
      <c r="C90" s="22"/>
      <c r="D90" s="2">
        <f t="shared" ref="D90:F90" si="39">0</f>
        <v>0</v>
      </c>
      <c r="E90" s="2">
        <f t="shared" si="39"/>
        <v>0</v>
      </c>
      <c r="F90" s="2">
        <f t="shared" si="39"/>
        <v>0</v>
      </c>
      <c r="G90" s="2">
        <f t="shared" si="34"/>
        <v>0</v>
      </c>
      <c r="H90" s="2">
        <f t="shared" si="36"/>
        <v>0</v>
      </c>
      <c r="I90" s="2">
        <f t="shared" si="36"/>
        <v>0</v>
      </c>
      <c r="J90" s="2">
        <f t="shared" si="36"/>
        <v>0</v>
      </c>
      <c r="K90" s="2">
        <f t="shared" si="35"/>
        <v>0</v>
      </c>
      <c r="L90" s="2">
        <f t="shared" si="37"/>
        <v>0</v>
      </c>
      <c r="M90" s="2">
        <f>-14.99</f>
        <v>-14.99</v>
      </c>
      <c r="N90" s="2"/>
      <c r="O90" s="2"/>
      <c r="Q90" s="2">
        <f>SUM(OSRRefD11_79x)+IFERROR(SUM(OSRRefE11_79x),0)</f>
        <v>-14.99</v>
      </c>
    </row>
    <row r="91" spans="1:17" x14ac:dyDescent="0.25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9" customFormat="1" collapsed="1" x14ac:dyDescent="0.25">
      <c r="A92" s="23"/>
      <c r="B92" s="16" t="s">
        <v>217</v>
      </c>
      <c r="C92" s="22"/>
      <c r="D92" s="3">
        <f>SUM(OSRRefD14x_0)</f>
        <v>325351.27000000014</v>
      </c>
      <c r="E92" s="3">
        <f>SUM(OSRRefD14x_1)</f>
        <v>1559887.0600000003</v>
      </c>
      <c r="F92" s="3">
        <f>SUM(OSRRefD14x_2)</f>
        <v>493273.1</v>
      </c>
      <c r="G92" s="3">
        <f>SUM(OSRRefD14x_3)</f>
        <v>243193.50000000003</v>
      </c>
      <c r="H92" s="3">
        <f>SUM(OSRRefD14x_4)</f>
        <v>121707.94</v>
      </c>
      <c r="I92" s="3">
        <f>SUM(OSRRefD14x_5)</f>
        <v>207177.40000000002</v>
      </c>
      <c r="J92" s="3">
        <f>SUM(OSRRefD14x_6)</f>
        <v>882162.34</v>
      </c>
      <c r="K92" s="3">
        <f>SUM(OSRRefD14x_7)</f>
        <v>298270.13999999996</v>
      </c>
      <c r="L92" s="3">
        <f>SUM(OSRRefD14x_8)</f>
        <v>454474.85000000003</v>
      </c>
      <c r="M92" s="3">
        <f>SUM(OSRRefD14x_9)</f>
        <v>592594.99</v>
      </c>
      <c r="N92" s="3">
        <f>SUM(OSRRefE14x_0)</f>
        <v>214508</v>
      </c>
      <c r="O92" s="3">
        <f>SUM(OSRRefE14x_1)</f>
        <v>337918</v>
      </c>
      <c r="Q92" s="3">
        <f>SUM(OSRRefG14x)</f>
        <v>5730518.5900000008</v>
      </c>
    </row>
    <row r="93" spans="1:17" s="9" customFormat="1" hidden="1" outlineLevel="1" x14ac:dyDescent="0.25">
      <c r="A93" s="23"/>
      <c r="B93" s="10" t="str">
        <f>CONCATENATE("          ","5000", " - ","PURCHASES @ COST")</f>
        <v xml:space="preserve">          5000 - PURCHASES @ COST</v>
      </c>
      <c r="C93" s="22"/>
      <c r="D93" s="2"/>
      <c r="E93" s="2"/>
      <c r="F93" s="2">
        <v>0</v>
      </c>
      <c r="G93" s="2">
        <v>0</v>
      </c>
      <c r="H93" s="2"/>
      <c r="I93" s="2"/>
      <c r="J93" s="2">
        <v>0</v>
      </c>
      <c r="K93" s="2"/>
      <c r="L93" s="2">
        <v>0</v>
      </c>
      <c r="M93" s="2"/>
      <c r="N93" s="2">
        <v>214508</v>
      </c>
      <c r="O93" s="2">
        <v>337918</v>
      </c>
      <c r="Q93" s="2">
        <f>SUM(OSRRefD14_0x)+IFERROR(SUM(OSRRefE14_0x),0)</f>
        <v>552426</v>
      </c>
    </row>
    <row r="94" spans="1:17" s="9" customFormat="1" hidden="1" outlineLevel="1" x14ac:dyDescent="0.25">
      <c r="A94" s="23"/>
      <c r="B94" s="10" t="str">
        <f>CONCATENATE("          ","5001", " - ","PURCHASES @ COST-NEW TEXT")</f>
        <v xml:space="preserve">          5001 - PURCHASES @ COST-NEW TEXT</v>
      </c>
      <c r="C94" s="22"/>
      <c r="D94" s="2">
        <v>153110.63</v>
      </c>
      <c r="E94" s="2">
        <v>538222.14</v>
      </c>
      <c r="F94" s="2">
        <v>602088.99</v>
      </c>
      <c r="G94" s="2">
        <v>55775.07</v>
      </c>
      <c r="H94" s="2">
        <v>-108601.35</v>
      </c>
      <c r="I94" s="2">
        <v>37317.56</v>
      </c>
      <c r="J94" s="2">
        <v>381096.17</v>
      </c>
      <c r="K94" s="2">
        <v>-332593.57</v>
      </c>
      <c r="L94" s="2">
        <v>-290899.24</v>
      </c>
      <c r="M94" s="2">
        <v>-28969.93</v>
      </c>
      <c r="N94" s="2"/>
      <c r="O94" s="2"/>
      <c r="Q94" s="2">
        <f>SUM(OSRRefD14_1x)+IFERROR(SUM(OSRRefE14_1x),0)</f>
        <v>1006546.4699999999</v>
      </c>
    </row>
    <row r="95" spans="1:17" s="9" customFormat="1" hidden="1" outlineLevel="1" x14ac:dyDescent="0.25">
      <c r="A95" s="23"/>
      <c r="B95" s="10" t="str">
        <f>CONCATENATE("          ","5002", " - ","PURCHASES @ COST-USED TEXT")</f>
        <v xml:space="preserve">          5002 - PURCHASES @ COST-USED TEXT</v>
      </c>
      <c r="C95" s="22"/>
      <c r="D95" s="2">
        <v>60324.85</v>
      </c>
      <c r="E95" s="2">
        <v>128042.67</v>
      </c>
      <c r="F95" s="2">
        <v>108363.86</v>
      </c>
      <c r="G95" s="2">
        <v>6331.95</v>
      </c>
      <c r="H95" s="2">
        <v>-208829.28</v>
      </c>
      <c r="I95" s="2">
        <v>70238.87</v>
      </c>
      <c r="J95" s="2">
        <v>95863.360000000001</v>
      </c>
      <c r="K95" s="2">
        <v>121987.94</v>
      </c>
      <c r="L95" s="2">
        <v>14728.45</v>
      </c>
      <c r="M95" s="2">
        <v>-122091.65</v>
      </c>
      <c r="N95" s="2"/>
      <c r="O95" s="2"/>
      <c r="Q95" s="2">
        <f>SUM(OSRRefD14_2x)+IFERROR(SUM(OSRRefE14_2x),0)</f>
        <v>274961.02</v>
      </c>
    </row>
    <row r="96" spans="1:17" s="9" customFormat="1" hidden="1" outlineLevel="1" x14ac:dyDescent="0.25">
      <c r="A96" s="23"/>
      <c r="B96" s="10" t="str">
        <f>CONCATENATE("          ","5003", " - ","PURCHASES @ COST-RENTAL TEXT")</f>
        <v xml:space="preserve">          5003 - PURCHASES @ COST-RENTAL TEXT</v>
      </c>
      <c r="C96" s="22"/>
      <c r="D96" s="2">
        <v>-11926.64</v>
      </c>
      <c r="E96" s="2">
        <v>58.8</v>
      </c>
      <c r="F96" s="2">
        <v>781.74</v>
      </c>
      <c r="G96" s="2">
        <v>10600.69</v>
      </c>
      <c r="H96" s="2">
        <v>517.92999999999995</v>
      </c>
      <c r="I96" s="2"/>
      <c r="J96" s="2"/>
      <c r="K96" s="2"/>
      <c r="L96" s="2"/>
      <c r="M96" s="2"/>
      <c r="N96" s="2"/>
      <c r="O96" s="2"/>
      <c r="Q96" s="2">
        <f>SUM(OSRRefD14_3x)+IFERROR(SUM(OSRRefE14_3x),0)</f>
        <v>32.520000000000095</v>
      </c>
    </row>
    <row r="97" spans="1:17" s="9" customFormat="1" hidden="1" outlineLevel="1" x14ac:dyDescent="0.25">
      <c r="A97" s="23"/>
      <c r="B97" s="10" t="str">
        <f>CONCATENATE("          ","5004", " - ","PURCHASES @ COST-DIGITAL TEXT")</f>
        <v xml:space="preserve">          5004 - PURCHASES @ COST-DIGITAL TEXT</v>
      </c>
      <c r="C97" s="22"/>
      <c r="D97" s="2">
        <v>4925.4799999999996</v>
      </c>
      <c r="E97" s="2">
        <v>117504.49</v>
      </c>
      <c r="F97" s="2">
        <v>60186.1</v>
      </c>
      <c r="G97" s="2">
        <v>12903.46</v>
      </c>
      <c r="H97" s="2">
        <v>1418.58</v>
      </c>
      <c r="I97" s="2">
        <v>900</v>
      </c>
      <c r="J97" s="2">
        <v>18888.45</v>
      </c>
      <c r="K97" s="2">
        <v>3282.02</v>
      </c>
      <c r="L97" s="2">
        <v>-13446.08</v>
      </c>
      <c r="M97" s="2">
        <v>887.88</v>
      </c>
      <c r="N97" s="2"/>
      <c r="O97" s="2"/>
      <c r="Q97" s="2">
        <f>SUM(OSRRefD14_4x)+IFERROR(SUM(OSRRefE14_4x),0)</f>
        <v>207450.38</v>
      </c>
    </row>
    <row r="98" spans="1:17" s="9" customFormat="1" hidden="1" outlineLevel="1" x14ac:dyDescent="0.25">
      <c r="A98" s="23"/>
      <c r="B98" s="10" t="str">
        <f>CONCATENATE("          ","5011", " - ","PURCHASES @ COST-NO VALUE TEXT")</f>
        <v xml:space="preserve">          5011 - PURCHASES @ COST-NO VALUE TEXT</v>
      </c>
      <c r="C98" s="22"/>
      <c r="D98" s="2"/>
      <c r="E98" s="2"/>
      <c r="F98" s="2"/>
      <c r="G98" s="2">
        <v>67.17</v>
      </c>
      <c r="H98" s="2"/>
      <c r="I98" s="2"/>
      <c r="J98" s="2"/>
      <c r="K98" s="2"/>
      <c r="L98" s="2"/>
      <c r="M98" s="2"/>
      <c r="N98" s="2"/>
      <c r="O98" s="2"/>
      <c r="Q98" s="2">
        <f>SUM(OSRRefD14_5x)+IFERROR(SUM(OSRRefE14_5x),0)</f>
        <v>67.17</v>
      </c>
    </row>
    <row r="99" spans="1:17" s="9" customFormat="1" hidden="1" outlineLevel="1" x14ac:dyDescent="0.25">
      <c r="A99" s="23"/>
      <c r="B99" s="10" t="str">
        <f>CONCATENATE("          ","5013", " - ","PURCHASES @ COST-TRADE BOOKS")</f>
        <v xml:space="preserve">          5013 - PURCHASES @ COST-TRADE BOOKS</v>
      </c>
      <c r="C99" s="22"/>
      <c r="D99" s="2">
        <v>108.54</v>
      </c>
      <c r="E99" s="2"/>
      <c r="F99" s="2">
        <v>-9.36</v>
      </c>
      <c r="G99" s="2">
        <v>1384.46</v>
      </c>
      <c r="H99" s="2">
        <v>611.1</v>
      </c>
      <c r="I99" s="2">
        <v>31.11</v>
      </c>
      <c r="J99" s="2">
        <v>3531.13</v>
      </c>
      <c r="K99" s="2">
        <v>305.11</v>
      </c>
      <c r="L99" s="2">
        <v>2907.93</v>
      </c>
      <c r="M99" s="2">
        <v>800</v>
      </c>
      <c r="N99" s="2"/>
      <c r="O99" s="2"/>
      <c r="Q99" s="2">
        <f>SUM(OSRRefD14_6x)+IFERROR(SUM(OSRRefE14_6x),0)</f>
        <v>9670.02</v>
      </c>
    </row>
    <row r="100" spans="1:17" s="9" customFormat="1" hidden="1" outlineLevel="1" x14ac:dyDescent="0.25">
      <c r="A100" s="23"/>
      <c r="B100" s="10" t="str">
        <f>CONCATENATE("          ","5014", " - ","PURCHASES @ COST-REMAINDERS")</f>
        <v xml:space="preserve">          5014 - PURCHASES @ COST-REMAINDERS</v>
      </c>
      <c r="C100" s="22"/>
      <c r="D100" s="2">
        <v>-12.51</v>
      </c>
      <c r="E100" s="2"/>
      <c r="F100" s="2"/>
      <c r="G100" s="2">
        <v>102.92</v>
      </c>
      <c r="H100" s="2"/>
      <c r="I100" s="2"/>
      <c r="J100" s="2"/>
      <c r="K100" s="2">
        <v>21.16</v>
      </c>
      <c r="L100" s="2"/>
      <c r="M100" s="2"/>
      <c r="N100" s="2"/>
      <c r="O100" s="2"/>
      <c r="Q100" s="2">
        <f>SUM(OSRRefD14_7x)+IFERROR(SUM(OSRRefE14_7x),0)</f>
        <v>111.57</v>
      </c>
    </row>
    <row r="101" spans="1:17" s="9" customFormat="1" hidden="1" outlineLevel="1" x14ac:dyDescent="0.25">
      <c r="A101" s="23"/>
      <c r="B101" s="10" t="str">
        <f>CONCATENATE("          ","5018", " - ","PURCHASES @ COST-STUDY GUIDES")</f>
        <v xml:space="preserve">          5018 - PURCHASES @ COST-STUDY GUIDES</v>
      </c>
      <c r="C101" s="22"/>
      <c r="D101" s="2"/>
      <c r="E101" s="2"/>
      <c r="F101" s="2"/>
      <c r="G101" s="2"/>
      <c r="H101" s="2">
        <v>106.34</v>
      </c>
      <c r="I101" s="2"/>
      <c r="J101" s="2">
        <v>416</v>
      </c>
      <c r="K101" s="2"/>
      <c r="L101" s="2">
        <v>444.87</v>
      </c>
      <c r="M101" s="2"/>
      <c r="N101" s="2"/>
      <c r="O101" s="2"/>
      <c r="Q101" s="2">
        <f>SUM(OSRRefD14_8x)+IFERROR(SUM(OSRRefE14_8x),0)</f>
        <v>967.21</v>
      </c>
    </row>
    <row r="102" spans="1:17" s="9" customFormat="1" hidden="1" outlineLevel="1" x14ac:dyDescent="0.25">
      <c r="A102" s="23"/>
      <c r="B102" s="10" t="str">
        <f>CONCATENATE("          ","5025", " - ","PURCHASES @ COST-TEST FORMS")</f>
        <v xml:space="preserve">          5025 - PURCHASES @ COST-TEST FORMS</v>
      </c>
      <c r="C102" s="22"/>
      <c r="D102" s="2"/>
      <c r="E102" s="2"/>
      <c r="F102" s="2"/>
      <c r="G102" s="2">
        <v>599.29</v>
      </c>
      <c r="H102" s="2"/>
      <c r="I102" s="2"/>
      <c r="J102" s="2"/>
      <c r="K102" s="2"/>
      <c r="L102" s="2"/>
      <c r="M102" s="2"/>
      <c r="N102" s="2"/>
      <c r="O102" s="2"/>
      <c r="Q102" s="2">
        <f>SUM(OSRRefD14_9x)+IFERROR(SUM(OSRRefE14_9x),0)</f>
        <v>599.29</v>
      </c>
    </row>
    <row r="103" spans="1:17" s="9" customFormat="1" hidden="1" outlineLevel="1" x14ac:dyDescent="0.25">
      <c r="A103" s="23"/>
      <c r="B103" s="10" t="str">
        <f>CONCATENATE("          ","5026", " - ","PURCHASES @ COST-WRITING INSTR")</f>
        <v xml:space="preserve">          5026 - PURCHASES @ COST-WRITING INSTR</v>
      </c>
      <c r="C103" s="22"/>
      <c r="D103" s="2"/>
      <c r="E103" s="2"/>
      <c r="F103" s="2"/>
      <c r="G103" s="2">
        <v>380.02</v>
      </c>
      <c r="H103" s="2"/>
      <c r="I103" s="2">
        <v>-5.1100000000000003</v>
      </c>
      <c r="J103" s="2"/>
      <c r="K103" s="2"/>
      <c r="L103" s="2">
        <v>209.64</v>
      </c>
      <c r="M103" s="2"/>
      <c r="N103" s="2"/>
      <c r="O103" s="2"/>
      <c r="Q103" s="2">
        <f>SUM(OSRRefD14_10x)+IFERROR(SUM(OSRRefE14_10x),0)</f>
        <v>584.54999999999995</v>
      </c>
    </row>
    <row r="104" spans="1:17" s="9" customFormat="1" hidden="1" outlineLevel="1" x14ac:dyDescent="0.25">
      <c r="A104" s="23"/>
      <c r="B104" s="10" t="str">
        <f>CONCATENATE("          ","5027", " - ","PURCHASES @ COST-SCHOOL SUPPLI")</f>
        <v xml:space="preserve">          5027 - PURCHASES @ COST-SCHOOL SUPPLI</v>
      </c>
      <c r="C104" s="22"/>
      <c r="D104" s="2">
        <v>8503.4</v>
      </c>
      <c r="E104" s="2"/>
      <c r="F104" s="2"/>
      <c r="G104" s="2">
        <v>10567.95</v>
      </c>
      <c r="H104" s="2"/>
      <c r="I104" s="2"/>
      <c r="J104" s="2"/>
      <c r="K104" s="2"/>
      <c r="L104" s="2">
        <v>2824.53</v>
      </c>
      <c r="M104" s="2">
        <v>1838.72</v>
      </c>
      <c r="N104" s="2"/>
      <c r="O104" s="2"/>
      <c r="Q104" s="2">
        <f>SUM(OSRRefD14_11x)+IFERROR(SUM(OSRRefE14_11x),0)</f>
        <v>23734.6</v>
      </c>
    </row>
    <row r="105" spans="1:17" s="9" customFormat="1" hidden="1" outlineLevel="1" x14ac:dyDescent="0.25">
      <c r="A105" s="23"/>
      <c r="B105" s="10" t="str">
        <f>CONCATENATE("          ","5028", " - ","PURCHASES @ COST-ART/TECH")</f>
        <v xml:space="preserve">          5028 - PURCHASES @ COST-ART/TECH</v>
      </c>
      <c r="C105" s="22"/>
      <c r="D105" s="2"/>
      <c r="E105" s="2"/>
      <c r="F105" s="2">
        <v>-83.4</v>
      </c>
      <c r="G105" s="2">
        <v>41425.96</v>
      </c>
      <c r="H105" s="2">
        <v>15.89</v>
      </c>
      <c r="I105" s="2"/>
      <c r="J105" s="2"/>
      <c r="K105" s="2">
        <v>833.13</v>
      </c>
      <c r="L105" s="2">
        <v>3443.78</v>
      </c>
      <c r="M105" s="2">
        <v>1371.26</v>
      </c>
      <c r="N105" s="2"/>
      <c r="O105" s="2"/>
      <c r="Q105" s="2">
        <f>SUM(OSRRefD14_12x)+IFERROR(SUM(OSRRefE14_12x),0)</f>
        <v>47006.619999999995</v>
      </c>
    </row>
    <row r="106" spans="1:17" s="9" customFormat="1" hidden="1" outlineLevel="1" x14ac:dyDescent="0.25">
      <c r="A106" s="23"/>
      <c r="B106" s="10" t="str">
        <f>CONCATENATE("          ","5031", " - ","PURCHASES @ COST-FOOD")</f>
        <v xml:space="preserve">          5031 - PURCHASES @ COST-FOOD</v>
      </c>
      <c r="C106" s="22"/>
      <c r="D106" s="2"/>
      <c r="E106" s="2">
        <v>0</v>
      </c>
      <c r="F106" s="2">
        <v>4065.92</v>
      </c>
      <c r="G106" s="2">
        <v>4469.18</v>
      </c>
      <c r="H106" s="2"/>
      <c r="I106" s="2">
        <v>-1260</v>
      </c>
      <c r="J106" s="2">
        <v>239.16</v>
      </c>
      <c r="K106" s="2">
        <v>271.45999999999998</v>
      </c>
      <c r="L106" s="2"/>
      <c r="M106" s="2"/>
      <c r="N106" s="2"/>
      <c r="O106" s="2"/>
      <c r="Q106" s="2">
        <f>SUM(OSRRefD14_13x)+IFERROR(SUM(OSRRefE14_13x),0)</f>
        <v>7785.72</v>
      </c>
    </row>
    <row r="107" spans="1:17" s="9" customFormat="1" hidden="1" outlineLevel="1" x14ac:dyDescent="0.25">
      <c r="A107" s="23"/>
      <c r="B107" s="10" t="str">
        <f>CONCATENATE("          ","5040", " - ","PURCHASES @ COST-LOGO CLOTHING")</f>
        <v xml:space="preserve">          5040 - PURCHASES @ COST-LOGO CLOTHING</v>
      </c>
      <c r="C107" s="22"/>
      <c r="D107" s="2">
        <v>1723.07</v>
      </c>
      <c r="E107" s="2">
        <v>7628.83</v>
      </c>
      <c r="F107" s="2">
        <v>4398.1499999999996</v>
      </c>
      <c r="G107" s="2">
        <v>25420.9</v>
      </c>
      <c r="H107" s="2">
        <v>55124.33</v>
      </c>
      <c r="I107" s="2">
        <v>38175.120000000003</v>
      </c>
      <c r="J107" s="2">
        <v>34900.79</v>
      </c>
      <c r="K107" s="2">
        <v>26599.9</v>
      </c>
      <c r="L107" s="2">
        <v>45900.51</v>
      </c>
      <c r="M107" s="2">
        <v>39218.65</v>
      </c>
      <c r="N107" s="2"/>
      <c r="O107" s="2"/>
      <c r="Q107" s="2">
        <f>SUM(OSRRefD14_14x)+IFERROR(SUM(OSRRefE14_14x),0)</f>
        <v>279090.25</v>
      </c>
    </row>
    <row r="108" spans="1:17" s="9" customFormat="1" hidden="1" outlineLevel="1" x14ac:dyDescent="0.25">
      <c r="A108" s="23"/>
      <c r="B108" s="10" t="str">
        <f>CONCATENATE("          ","5041", " - ","PURCHASES @ COST-LOGO GIFTS")</f>
        <v xml:space="preserve">          5041 - PURCHASES @ COST-LOGO GIFTS</v>
      </c>
      <c r="C108" s="22"/>
      <c r="D108" s="2">
        <v>-713.75</v>
      </c>
      <c r="E108" s="2">
        <v>1843.29</v>
      </c>
      <c r="F108" s="2">
        <v>868</v>
      </c>
      <c r="G108" s="2">
        <v>15289.8</v>
      </c>
      <c r="H108" s="2">
        <v>9354.43</v>
      </c>
      <c r="I108" s="2">
        <v>5559.99</v>
      </c>
      <c r="J108" s="2">
        <v>8769.24</v>
      </c>
      <c r="K108" s="2">
        <v>26592.81</v>
      </c>
      <c r="L108" s="2">
        <v>899.63</v>
      </c>
      <c r="M108" s="2">
        <v>15798.51</v>
      </c>
      <c r="N108" s="2"/>
      <c r="O108" s="2"/>
      <c r="Q108" s="2">
        <f>SUM(OSRRefD14_15x)+IFERROR(SUM(OSRRefE14_15x),0)</f>
        <v>84261.95</v>
      </c>
    </row>
    <row r="109" spans="1:17" s="9" customFormat="1" hidden="1" outlineLevel="1" x14ac:dyDescent="0.25">
      <c r="A109" s="23"/>
      <c r="B109" s="10" t="str">
        <f>CONCATENATE("          ","5042", " - ","PURCHASES @ COST-EVERYDAY GIFT")</f>
        <v xml:space="preserve">          5042 - PURCHASES @ COST-EVERYDAY GIFT</v>
      </c>
      <c r="C109" s="22"/>
      <c r="D109" s="2">
        <v>236.16</v>
      </c>
      <c r="E109" s="2">
        <v>732.99</v>
      </c>
      <c r="F109" s="2">
        <v>522</v>
      </c>
      <c r="G109" s="2">
        <v>9421.5300000000007</v>
      </c>
      <c r="H109" s="2"/>
      <c r="I109" s="2">
        <v>148.6</v>
      </c>
      <c r="J109" s="2">
        <v>6760.7</v>
      </c>
      <c r="K109" s="2">
        <v>1196.2</v>
      </c>
      <c r="L109" s="2">
        <v>-270</v>
      </c>
      <c r="M109" s="2"/>
      <c r="N109" s="2"/>
      <c r="O109" s="2"/>
      <c r="Q109" s="2">
        <f>SUM(OSRRefD14_16x)+IFERROR(SUM(OSRRefE14_16x),0)</f>
        <v>18748.18</v>
      </c>
    </row>
    <row r="110" spans="1:17" s="9" customFormat="1" hidden="1" outlineLevel="1" x14ac:dyDescent="0.25">
      <c r="A110" s="23"/>
      <c r="B110" s="10" t="str">
        <f>CONCATENATE("          ","5043", " - ","PURCHASES @ COST-CARDS")</f>
        <v xml:space="preserve">          5043 - PURCHASES @ COST-CARDS</v>
      </c>
      <c r="C110" s="22"/>
      <c r="D110" s="2">
        <v>308.7</v>
      </c>
      <c r="E110" s="2">
        <v>1406.55</v>
      </c>
      <c r="F110" s="2">
        <v>1401</v>
      </c>
      <c r="G110" s="2">
        <v>2526.75</v>
      </c>
      <c r="H110" s="2">
        <v>38530.230000000003</v>
      </c>
      <c r="I110" s="2">
        <v>2448</v>
      </c>
      <c r="J110" s="2">
        <v>8743.1</v>
      </c>
      <c r="K110" s="2"/>
      <c r="L110" s="2"/>
      <c r="M110" s="2">
        <v>41</v>
      </c>
      <c r="N110" s="2"/>
      <c r="O110" s="2"/>
      <c r="Q110" s="2">
        <f>SUM(OSRRefD14_17x)+IFERROR(SUM(OSRRefE14_17x),0)</f>
        <v>55405.33</v>
      </c>
    </row>
    <row r="111" spans="1:17" s="9" customFormat="1" hidden="1" outlineLevel="1" x14ac:dyDescent="0.25">
      <c r="A111" s="23"/>
      <c r="B111" s="10" t="str">
        <f>CONCATENATE("          ","5044", " - ","PURCHASES @ COST-ACCESSORIES")</f>
        <v xml:space="preserve">          5044 - PURCHASES @ COST-ACCESSORIES</v>
      </c>
      <c r="C111" s="22"/>
      <c r="D111" s="2"/>
      <c r="E111" s="2"/>
      <c r="F111" s="2"/>
      <c r="G111" s="2"/>
      <c r="H111" s="2">
        <v>282.33</v>
      </c>
      <c r="I111" s="2"/>
      <c r="J111" s="2">
        <v>782.5</v>
      </c>
      <c r="K111" s="2"/>
      <c r="L111" s="2"/>
      <c r="M111" s="2">
        <v>1490.88</v>
      </c>
      <c r="N111" s="2"/>
      <c r="O111" s="2"/>
      <c r="Q111" s="2">
        <f>SUM(OSRRefD14_18x)+IFERROR(SUM(OSRRefE14_18x),0)</f>
        <v>2555.71</v>
      </c>
    </row>
    <row r="112" spans="1:17" s="9" customFormat="1" hidden="1" outlineLevel="1" x14ac:dyDescent="0.25">
      <c r="A112" s="23"/>
      <c r="B112" s="10" t="str">
        <f>CONCATENATE("          ","5045", " - ","PURCHASES @ COST-SPECIAL ORDER")</f>
        <v xml:space="preserve">          5045 - PURCHASES @ COST-SPECIAL ORDER</v>
      </c>
      <c r="C112" s="22"/>
      <c r="D112" s="2">
        <v>2756.21</v>
      </c>
      <c r="E112" s="2">
        <v>5633.96</v>
      </c>
      <c r="F112" s="2">
        <v>52784.12</v>
      </c>
      <c r="G112" s="2">
        <v>10080.23</v>
      </c>
      <c r="H112" s="2">
        <v>5678</v>
      </c>
      <c r="I112" s="2">
        <v>10676.48</v>
      </c>
      <c r="J112" s="2">
        <v>5855.38</v>
      </c>
      <c r="K112" s="2">
        <v>1909.13</v>
      </c>
      <c r="L112" s="2">
        <v>13853.18</v>
      </c>
      <c r="M112" s="2">
        <v>5771.38</v>
      </c>
      <c r="N112" s="2"/>
      <c r="O112" s="2"/>
      <c r="Q112" s="2">
        <f>SUM(OSRRefD14_19x)+IFERROR(SUM(OSRRefE14_19x),0)</f>
        <v>114998.07</v>
      </c>
    </row>
    <row r="113" spans="1:17" s="9" customFormat="1" hidden="1" outlineLevel="1" x14ac:dyDescent="0.25">
      <c r="A113" s="23"/>
      <c r="B113" s="10" t="str">
        <f>CONCATENATE("          ","5081", " - ","PURCHASES @ COST-ELECTRONICS")</f>
        <v xml:space="preserve">          5081 - PURCHASES @ COST-ELECTRONICS</v>
      </c>
      <c r="C113" s="22"/>
      <c r="D113" s="2">
        <v>6676.92</v>
      </c>
      <c r="E113" s="2">
        <v>745.55</v>
      </c>
      <c r="F113" s="2">
        <v>8274.98</v>
      </c>
      <c r="G113" s="2">
        <v>6249.76</v>
      </c>
      <c r="H113" s="2">
        <v>2367.86</v>
      </c>
      <c r="I113" s="2">
        <v>945.44</v>
      </c>
      <c r="J113" s="2">
        <v>313.26</v>
      </c>
      <c r="K113" s="2">
        <v>6584.13</v>
      </c>
      <c r="L113" s="2">
        <v>309.97000000000003</v>
      </c>
      <c r="M113" s="2">
        <v>-19.5</v>
      </c>
      <c r="N113" s="2"/>
      <c r="O113" s="2"/>
      <c r="Q113" s="2">
        <f>SUM(OSRRefD14_20x)+IFERROR(SUM(OSRRefE14_20x),0)</f>
        <v>32448.37</v>
      </c>
    </row>
    <row r="114" spans="1:17" s="9" customFormat="1" hidden="1" outlineLevel="1" x14ac:dyDescent="0.25">
      <c r="A114" s="23"/>
      <c r="B114" s="10" t="str">
        <f>CONCATENATE("          ","5082", " - ","PURCHASES @ COST-COMPUTER HARD")</f>
        <v xml:space="preserve">          5082 - PURCHASES @ COST-COMPUTER HARD</v>
      </c>
      <c r="C114" s="22"/>
      <c r="D114" s="2">
        <v>186472.57</v>
      </c>
      <c r="E114" s="2">
        <v>56751.23</v>
      </c>
      <c r="F114" s="2">
        <v>470149.41</v>
      </c>
      <c r="G114" s="2">
        <v>175404.87</v>
      </c>
      <c r="H114" s="2">
        <v>71242.03</v>
      </c>
      <c r="I114" s="2">
        <v>20916.71</v>
      </c>
      <c r="J114" s="2">
        <v>98264.71</v>
      </c>
      <c r="K114" s="2">
        <v>184376.31</v>
      </c>
      <c r="L114" s="2">
        <v>132715.92000000001</v>
      </c>
      <c r="M114" s="2">
        <v>277047.03999999998</v>
      </c>
      <c r="N114" s="2"/>
      <c r="O114" s="2"/>
      <c r="Q114" s="2">
        <f>SUM(OSRRefD14_21x)+IFERROR(SUM(OSRRefE14_21x),0)</f>
        <v>1673340.8</v>
      </c>
    </row>
    <row r="115" spans="1:17" s="9" customFormat="1" hidden="1" outlineLevel="1" x14ac:dyDescent="0.25">
      <c r="A115" s="23"/>
      <c r="B115" s="10" t="str">
        <f>CONCATENATE("          ","5083", " - ","PURCHASES @ COST-COMPUTER EQUI")</f>
        <v xml:space="preserve">          5083 - PURCHASES @ COST-COMPUTER EQUI</v>
      </c>
      <c r="C115" s="22"/>
      <c r="D115" s="2">
        <v>29938.3</v>
      </c>
      <c r="E115" s="2">
        <v>7340.55</v>
      </c>
      <c r="F115" s="2">
        <v>24155.15</v>
      </c>
      <c r="G115" s="2">
        <v>11838.95</v>
      </c>
      <c r="H115" s="2">
        <v>2620.17</v>
      </c>
      <c r="I115" s="2">
        <v>5833.72</v>
      </c>
      <c r="J115" s="2">
        <v>8829.83</v>
      </c>
      <c r="K115" s="2">
        <v>8631.6</v>
      </c>
      <c r="L115" s="2">
        <v>6015.06</v>
      </c>
      <c r="M115" s="2">
        <v>14312.16</v>
      </c>
      <c r="N115" s="2"/>
      <c r="O115" s="2"/>
      <c r="Q115" s="2">
        <f>SUM(OSRRefD14_22x)+IFERROR(SUM(OSRRefE14_22x),0)</f>
        <v>119515.49</v>
      </c>
    </row>
    <row r="116" spans="1:17" s="9" customFormat="1" hidden="1" outlineLevel="1" x14ac:dyDescent="0.25">
      <c r="A116" s="23"/>
      <c r="B116" s="10" t="str">
        <f>CONCATENATE("          ","5085", " - ","PURCHASES @ COST-SOFTWARE")</f>
        <v xml:space="preserve">          5085 - PURCHASES @ COST-SOFTWARE</v>
      </c>
      <c r="C116" s="22"/>
      <c r="D116" s="2">
        <v>3864.34</v>
      </c>
      <c r="E116" s="2">
        <v>2364.2199999999998</v>
      </c>
      <c r="F116" s="2">
        <v>8609.1200000000008</v>
      </c>
      <c r="G116" s="2">
        <v>5843.52</v>
      </c>
      <c r="H116" s="2">
        <v>3394.72</v>
      </c>
      <c r="I116" s="2">
        <v>496.16</v>
      </c>
      <c r="J116" s="2">
        <v>4174.1400000000003</v>
      </c>
      <c r="K116" s="2">
        <v>1399.23</v>
      </c>
      <c r="L116" s="2">
        <v>3753.26</v>
      </c>
      <c r="M116" s="2">
        <v>4012.17</v>
      </c>
      <c r="N116" s="2"/>
      <c r="O116" s="2"/>
      <c r="Q116" s="2">
        <f>SUM(OSRRefD14_23x)+IFERROR(SUM(OSRRefE14_23x),0)</f>
        <v>37910.879999999997</v>
      </c>
    </row>
    <row r="117" spans="1:17" s="9" customFormat="1" hidden="1" outlineLevel="1" x14ac:dyDescent="0.25">
      <c r="A117" s="23"/>
      <c r="B117" s="10" t="str">
        <f>CONCATENATE("          ","5086", " - ","PURCHASES @ COST-COMPUTER SUPP")</f>
        <v xml:space="preserve">          5086 - PURCHASES @ COST-COMPUTER SUPP</v>
      </c>
      <c r="C117" s="22"/>
      <c r="D117" s="2">
        <v>87.25</v>
      </c>
      <c r="E117" s="2">
        <v>21649.96</v>
      </c>
      <c r="F117" s="2">
        <v>18.760000000000002</v>
      </c>
      <c r="G117" s="2">
        <v>773.47</v>
      </c>
      <c r="H117" s="2">
        <v>189.17</v>
      </c>
      <c r="I117" s="2"/>
      <c r="J117" s="2">
        <v>21.24</v>
      </c>
      <c r="K117" s="2">
        <v>398.64</v>
      </c>
      <c r="L117" s="2">
        <v>525.71</v>
      </c>
      <c r="M117" s="2">
        <v>28.4</v>
      </c>
      <c r="N117" s="2"/>
      <c r="O117" s="2"/>
      <c r="Q117" s="2">
        <f>SUM(OSRRefD14_24x)+IFERROR(SUM(OSRRefE14_24x),0)</f>
        <v>23692.6</v>
      </c>
    </row>
    <row r="118" spans="1:17" s="9" customFormat="1" hidden="1" outlineLevel="1" x14ac:dyDescent="0.25">
      <c r="A118" s="23"/>
      <c r="B118" s="10" t="str">
        <f>CONCATENATE("          ","5092", " - ","PURCHASES @ COST-GRAD MERCH")</f>
        <v xml:space="preserve">          5092 - PURCHASES @ COST-GRAD MERCH</v>
      </c>
      <c r="C118" s="22"/>
      <c r="D118" s="2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Q118" s="2">
        <f>SUM(OSRRefD14_25x)+IFERROR(SUM(OSRRefE14_25x),0)</f>
        <v>0</v>
      </c>
    </row>
    <row r="119" spans="1:17" s="9" customFormat="1" hidden="1" outlineLevel="1" x14ac:dyDescent="0.25">
      <c r="A119" s="23"/>
      <c r="B119" s="10" t="str">
        <f>CONCATENATE("          ","5200", " - ","PURCHASES OFFSET")</f>
        <v xml:space="preserve">          5200 - PURCHASES OFFSET</v>
      </c>
      <c r="C119" s="22"/>
      <c r="D119" s="2">
        <v>-442822.05</v>
      </c>
      <c r="E119" s="2">
        <v>-586112.93000000005</v>
      </c>
      <c r="F119" s="2">
        <v>-1333358.52</v>
      </c>
      <c r="G119" s="2">
        <v>-434415.86</v>
      </c>
      <c r="H119" s="2">
        <v>120893.8</v>
      </c>
      <c r="I119" s="2">
        <v>-200857.41</v>
      </c>
      <c r="J119" s="2">
        <v>-502374.21</v>
      </c>
      <c r="K119" s="2">
        <v>-46641.74</v>
      </c>
      <c r="L119" s="2">
        <v>73739.19</v>
      </c>
      <c r="M119" s="2">
        <v>-216816.48</v>
      </c>
      <c r="N119" s="2"/>
      <c r="O119" s="2"/>
      <c r="Q119" s="2">
        <f>SUM(OSRRefD14_26x)+IFERROR(SUM(OSRRefE14_26x),0)</f>
        <v>-3568766.2100000004</v>
      </c>
    </row>
    <row r="120" spans="1:17" s="9" customFormat="1" hidden="1" outlineLevel="1" x14ac:dyDescent="0.25">
      <c r="A120" s="23"/>
      <c r="B120" s="10" t="str">
        <f>CONCATENATE("          ","5300", " - ","COG$ OFFSET")</f>
        <v xml:space="preserve">          5300 - COG$ OFFSET</v>
      </c>
      <c r="C120" s="22"/>
      <c r="D120" s="2">
        <v>319584</v>
      </c>
      <c r="E120" s="2">
        <v>1248893</v>
      </c>
      <c r="F120" s="2">
        <v>466553</v>
      </c>
      <c r="G120" s="2">
        <v>241934</v>
      </c>
      <c r="H120" s="2">
        <v>117369</v>
      </c>
      <c r="I120" s="2">
        <v>208821</v>
      </c>
      <c r="J120" s="2">
        <v>695026</v>
      </c>
      <c r="K120" s="2">
        <v>286283</v>
      </c>
      <c r="L120" s="2">
        <v>453621</v>
      </c>
      <c r="M120" s="2">
        <v>592301</v>
      </c>
      <c r="N120" s="2"/>
      <c r="O120" s="2"/>
      <c r="Q120" s="2">
        <f>SUM(OSRRefD14_27x)+IFERROR(SUM(OSRRefE14_27x),0)</f>
        <v>4630385</v>
      </c>
    </row>
    <row r="121" spans="1:17" s="9" customFormat="1" hidden="1" outlineLevel="1" x14ac:dyDescent="0.25">
      <c r="A121" s="23"/>
      <c r="B121" s="10" t="str">
        <f>CONCATENATE("          ","5500", " - ","FREIGHT-IN")</f>
        <v xml:space="preserve">          5500 - FREIGHT-IN</v>
      </c>
      <c r="C121" s="22"/>
      <c r="D121" s="2">
        <v>0</v>
      </c>
      <c r="E121" s="2">
        <v>0</v>
      </c>
      <c r="F121" s="2">
        <v>0</v>
      </c>
      <c r="G121" s="2"/>
      <c r="H121" s="2"/>
      <c r="I121" s="2">
        <v>0</v>
      </c>
      <c r="J121" s="2">
        <v>0</v>
      </c>
      <c r="K121" s="2">
        <v>0</v>
      </c>
      <c r="L121" s="2"/>
      <c r="M121" s="2"/>
      <c r="N121" s="2"/>
      <c r="O121" s="2"/>
      <c r="Q121" s="2">
        <f>SUM(OSRRefD14_28x)+IFERROR(SUM(OSRRefE14_28x),0)</f>
        <v>0</v>
      </c>
    </row>
    <row r="122" spans="1:17" s="9" customFormat="1" hidden="1" outlineLevel="1" x14ac:dyDescent="0.25">
      <c r="A122" s="23"/>
      <c r="B122" s="10" t="str">
        <f>CONCATENATE("          ","5501", " - ","FREIGHT-IN-NEW TEXT")</f>
        <v xml:space="preserve">          5501 - FREIGHT-IN-NEW TEXT</v>
      </c>
      <c r="C122" s="22"/>
      <c r="D122" s="2">
        <v>802.72</v>
      </c>
      <c r="E122" s="2">
        <v>4680.5600000000004</v>
      </c>
      <c r="F122" s="2">
        <v>5279.6</v>
      </c>
      <c r="G122" s="2">
        <v>23295.74</v>
      </c>
      <c r="H122" s="2">
        <v>990.19</v>
      </c>
      <c r="I122" s="2">
        <v>2414.77</v>
      </c>
      <c r="J122" s="2">
        <v>7155.21</v>
      </c>
      <c r="K122" s="2">
        <v>4638.13</v>
      </c>
      <c r="L122" s="2">
        <v>785.54</v>
      </c>
      <c r="M122" s="2">
        <v>271.27</v>
      </c>
      <c r="N122" s="2"/>
      <c r="O122" s="2"/>
      <c r="Q122" s="2">
        <f>SUM(OSRRefD14_29x)+IFERROR(SUM(OSRRefE14_29x),0)</f>
        <v>50313.729999999996</v>
      </c>
    </row>
    <row r="123" spans="1:17" s="9" customFormat="1" hidden="1" outlineLevel="1" x14ac:dyDescent="0.25">
      <c r="A123" s="23"/>
      <c r="B123" s="10" t="str">
        <f>CONCATENATE("          ","5502", " - ","FREIGHT-IN-USED TEXT")</f>
        <v xml:space="preserve">          5502 - FREIGHT-IN-USED TEXT</v>
      </c>
      <c r="C123" s="22"/>
      <c r="D123" s="2">
        <v>47.89</v>
      </c>
      <c r="E123" s="2">
        <v>1186.6600000000001</v>
      </c>
      <c r="F123" s="2">
        <v>7276.27</v>
      </c>
      <c r="G123" s="2">
        <v>2233.9</v>
      </c>
      <c r="H123" s="2">
        <v>388.37</v>
      </c>
      <c r="I123" s="2">
        <v>2389.48</v>
      </c>
      <c r="J123" s="2">
        <v>2129.7399999999998</v>
      </c>
      <c r="K123" s="2">
        <v>1484.45</v>
      </c>
      <c r="L123" s="2">
        <v>663.37</v>
      </c>
      <c r="M123" s="2">
        <v>58.77</v>
      </c>
      <c r="N123" s="2"/>
      <c r="O123" s="2"/>
      <c r="Q123" s="2">
        <f>SUM(OSRRefD14_30x)+IFERROR(SUM(OSRRefE14_30x),0)</f>
        <v>17858.899999999998</v>
      </c>
    </row>
    <row r="124" spans="1:17" s="9" customFormat="1" hidden="1" outlineLevel="1" x14ac:dyDescent="0.25">
      <c r="A124" s="23"/>
      <c r="B124" s="10" t="str">
        <f>CONCATENATE("          ","5504", " - ","FREIGHT-IN-DIGITAL TEXT")</f>
        <v xml:space="preserve">          5504 - FREIGHT-IN-DIGITAL TEXT</v>
      </c>
      <c r="C124" s="22"/>
      <c r="D124" s="2"/>
      <c r="E124" s="2"/>
      <c r="F124" s="2">
        <v>10.99</v>
      </c>
      <c r="G124" s="2">
        <v>10.99</v>
      </c>
      <c r="H124" s="2"/>
      <c r="I124" s="2"/>
      <c r="J124" s="2"/>
      <c r="K124" s="2">
        <v>6.94</v>
      </c>
      <c r="L124" s="2"/>
      <c r="M124" s="2"/>
      <c r="N124" s="2"/>
      <c r="O124" s="2"/>
      <c r="Q124" s="2">
        <f>SUM(OSRRefD14_31x)+IFERROR(SUM(OSRRefE14_31x),0)</f>
        <v>28.92</v>
      </c>
    </row>
    <row r="125" spans="1:17" s="9" customFormat="1" hidden="1" outlineLevel="1" x14ac:dyDescent="0.25">
      <c r="A125" s="23"/>
      <c r="B125" s="10" t="str">
        <f>CONCATENATE("          ","5513", " - ","FREIGHT-IN-TRADE BOOKS")</f>
        <v xml:space="preserve">          5513 - FREIGHT-IN-TRADE BOOKS</v>
      </c>
      <c r="C125" s="22"/>
      <c r="D125" s="2"/>
      <c r="E125" s="2"/>
      <c r="F125" s="2"/>
      <c r="G125" s="2"/>
      <c r="H125" s="2">
        <v>26.46</v>
      </c>
      <c r="I125" s="2"/>
      <c r="J125" s="2">
        <v>7.06</v>
      </c>
      <c r="K125" s="2"/>
      <c r="L125" s="2">
        <v>51.76</v>
      </c>
      <c r="M125" s="2"/>
      <c r="N125" s="2"/>
      <c r="O125" s="2"/>
      <c r="Q125" s="2">
        <f>SUM(OSRRefD14_32x)+IFERROR(SUM(OSRRefE14_32x),0)</f>
        <v>85.28</v>
      </c>
    </row>
    <row r="126" spans="1:17" s="9" customFormat="1" hidden="1" outlineLevel="1" x14ac:dyDescent="0.25">
      <c r="A126" s="23"/>
      <c r="B126" s="10" t="str">
        <f>CONCATENATE("          ","5525", " - ","FREIGHT-IN-TEST FORMS")</f>
        <v xml:space="preserve">          5525 - FREIGHT-IN-TEST FORMS</v>
      </c>
      <c r="C126" s="22"/>
      <c r="D126" s="2"/>
      <c r="E126" s="2"/>
      <c r="F126" s="2"/>
      <c r="G126" s="2">
        <v>48.14</v>
      </c>
      <c r="H126" s="2"/>
      <c r="I126" s="2"/>
      <c r="J126" s="2"/>
      <c r="K126" s="2"/>
      <c r="L126" s="2"/>
      <c r="M126" s="2"/>
      <c r="N126" s="2"/>
      <c r="O126" s="2"/>
      <c r="Q126" s="2">
        <f>SUM(OSRRefD14_33x)+IFERROR(SUM(OSRRefE14_33x),0)</f>
        <v>48.14</v>
      </c>
    </row>
    <row r="127" spans="1:17" s="9" customFormat="1" hidden="1" outlineLevel="1" x14ac:dyDescent="0.25">
      <c r="A127" s="23"/>
      <c r="B127" s="10" t="str">
        <f>CONCATENATE("          ","5526", " - ","FREIGHT-IN-WRITING INSTRUMENTS")</f>
        <v xml:space="preserve">          5526 - FREIGHT-IN-WRITING INSTRUMENTS</v>
      </c>
      <c r="C127" s="22"/>
      <c r="D127" s="2"/>
      <c r="E127" s="2"/>
      <c r="F127" s="2"/>
      <c r="G127" s="2"/>
      <c r="H127" s="2"/>
      <c r="I127" s="2">
        <v>0</v>
      </c>
      <c r="J127" s="2"/>
      <c r="K127" s="2"/>
      <c r="L127" s="2"/>
      <c r="M127" s="2"/>
      <c r="N127" s="2"/>
      <c r="O127" s="2"/>
      <c r="Q127" s="2">
        <f>SUM(OSRRefD14_34x)+IFERROR(SUM(OSRRefE14_34x),0)</f>
        <v>0</v>
      </c>
    </row>
    <row r="128" spans="1:17" s="9" customFormat="1" hidden="1" outlineLevel="1" x14ac:dyDescent="0.25">
      <c r="A128" s="23"/>
      <c r="B128" s="10" t="str">
        <f>CONCATENATE("          ","5527", " - ","FREIGHT-IN-SCHOOL SUPPLIES")</f>
        <v xml:space="preserve">          5527 - FREIGHT-IN-SCHOOL SUPPLIES</v>
      </c>
      <c r="C128" s="22"/>
      <c r="D128" s="2"/>
      <c r="E128" s="2"/>
      <c r="F128" s="2"/>
      <c r="G128" s="2">
        <v>56</v>
      </c>
      <c r="H128" s="2"/>
      <c r="I128" s="2">
        <v>121.5</v>
      </c>
      <c r="J128" s="2"/>
      <c r="K128" s="2"/>
      <c r="L128" s="2">
        <v>41.12</v>
      </c>
      <c r="M128" s="2"/>
      <c r="N128" s="2"/>
      <c r="O128" s="2"/>
      <c r="Q128" s="2">
        <f>SUM(OSRRefD14_35x)+IFERROR(SUM(OSRRefE14_35x),0)</f>
        <v>218.62</v>
      </c>
    </row>
    <row r="129" spans="1:17" s="9" customFormat="1" hidden="1" outlineLevel="1" x14ac:dyDescent="0.25">
      <c r="A129" s="23"/>
      <c r="B129" s="10" t="str">
        <f>CONCATENATE("          ","5528", " - ","FREIGHT-IN-ART/TECH")</f>
        <v xml:space="preserve">          5528 - FREIGHT-IN-ART/TECH</v>
      </c>
      <c r="C129" s="22"/>
      <c r="D129" s="2">
        <v>38.049999999999997</v>
      </c>
      <c r="E129" s="2"/>
      <c r="F129" s="2">
        <v>6.76</v>
      </c>
      <c r="G129" s="2">
        <v>239.39</v>
      </c>
      <c r="H129" s="2">
        <v>1.72</v>
      </c>
      <c r="I129" s="2">
        <v>4.29</v>
      </c>
      <c r="J129" s="2">
        <v>48.53</v>
      </c>
      <c r="K129" s="2">
        <v>12.76</v>
      </c>
      <c r="L129" s="2">
        <v>103.71</v>
      </c>
      <c r="M129" s="2">
        <v>89.22</v>
      </c>
      <c r="N129" s="2"/>
      <c r="O129" s="2"/>
      <c r="Q129" s="2">
        <f>SUM(OSRRefD14_36x)+IFERROR(SUM(OSRRefE14_36x),0)</f>
        <v>544.42999999999995</v>
      </c>
    </row>
    <row r="130" spans="1:17" s="9" customFormat="1" hidden="1" outlineLevel="1" x14ac:dyDescent="0.25">
      <c r="A130" s="23"/>
      <c r="B130" s="10" t="str">
        <f>CONCATENATE("          ","5540", " - ","FREIGHT-IN-LOGO CLOTHING")</f>
        <v xml:space="preserve">          5540 - FREIGHT-IN-LOGO CLOTHING</v>
      </c>
      <c r="C130" s="22"/>
      <c r="D130" s="2">
        <v>909.83</v>
      </c>
      <c r="E130" s="2">
        <v>1021.7</v>
      </c>
      <c r="F130" s="2">
        <v>234.23</v>
      </c>
      <c r="G130" s="2">
        <v>1036.57</v>
      </c>
      <c r="H130" s="2">
        <v>1333.15</v>
      </c>
      <c r="I130" s="2">
        <v>907.48</v>
      </c>
      <c r="J130" s="2">
        <v>347.67</v>
      </c>
      <c r="K130" s="2">
        <v>150.6</v>
      </c>
      <c r="L130" s="2">
        <v>1167.1400000000001</v>
      </c>
      <c r="M130" s="2">
        <v>2107.65</v>
      </c>
      <c r="N130" s="2"/>
      <c r="O130" s="2"/>
      <c r="Q130" s="2">
        <f>SUM(OSRRefD14_37x)+IFERROR(SUM(OSRRefE14_37x),0)</f>
        <v>9216.02</v>
      </c>
    </row>
    <row r="131" spans="1:17" s="9" customFormat="1" hidden="1" outlineLevel="1" x14ac:dyDescent="0.25">
      <c r="A131" s="23"/>
      <c r="B131" s="10" t="str">
        <f>CONCATENATE("          ","5541", " - ","FREIGHT-IN-LOGO GIFTS")</f>
        <v xml:space="preserve">          5541 - FREIGHT-IN-LOGO GIFTS</v>
      </c>
      <c r="C131" s="22"/>
      <c r="D131" s="2">
        <v>83.58</v>
      </c>
      <c r="E131" s="2">
        <v>123.12</v>
      </c>
      <c r="F131" s="2">
        <v>154.41</v>
      </c>
      <c r="G131" s="2">
        <v>773.7</v>
      </c>
      <c r="H131" s="2">
        <v>301.06</v>
      </c>
      <c r="I131" s="2">
        <v>84.07</v>
      </c>
      <c r="J131" s="2">
        <v>182.93</v>
      </c>
      <c r="K131" s="2">
        <v>375.06</v>
      </c>
      <c r="L131" s="2">
        <v>60.07</v>
      </c>
      <c r="M131" s="2">
        <v>2877.99</v>
      </c>
      <c r="N131" s="2"/>
      <c r="O131" s="2"/>
      <c r="Q131" s="2">
        <f>SUM(OSRRefD14_38x)+IFERROR(SUM(OSRRefE14_38x),0)</f>
        <v>5015.99</v>
      </c>
    </row>
    <row r="132" spans="1:17" s="9" customFormat="1" hidden="1" outlineLevel="1" x14ac:dyDescent="0.25">
      <c r="A132" s="23"/>
      <c r="B132" s="10" t="str">
        <f>CONCATENATE("          ","5542", " - ","FREIGHT-IN-EVERYDAY GIFTS")</f>
        <v xml:space="preserve">          5542 - FREIGHT-IN-EVERYDAY GIFTS</v>
      </c>
      <c r="C132" s="22"/>
      <c r="D132" s="2">
        <v>5.94</v>
      </c>
      <c r="E132" s="2"/>
      <c r="F132" s="2">
        <v>65.44</v>
      </c>
      <c r="G132" s="2">
        <v>104.17</v>
      </c>
      <c r="H132" s="2">
        <v>21</v>
      </c>
      <c r="I132" s="2"/>
      <c r="J132" s="2">
        <v>187.38</v>
      </c>
      <c r="K132" s="2"/>
      <c r="L132" s="2">
        <v>297.79000000000002</v>
      </c>
      <c r="M132" s="2"/>
      <c r="N132" s="2"/>
      <c r="O132" s="2"/>
      <c r="Q132" s="2">
        <f>SUM(OSRRefD14_39x)+IFERROR(SUM(OSRRefE14_39x),0)</f>
        <v>681.72</v>
      </c>
    </row>
    <row r="133" spans="1:17" s="9" customFormat="1" hidden="1" outlineLevel="1" x14ac:dyDescent="0.25">
      <c r="A133" s="23"/>
      <c r="B133" s="10" t="str">
        <f>CONCATENATE("          ","5543", " - ","FREIGHT-IN-CARDS")</f>
        <v xml:space="preserve">          5543 - FREIGHT-IN-CARDS</v>
      </c>
      <c r="C133" s="22"/>
      <c r="D133" s="2"/>
      <c r="E133" s="2"/>
      <c r="F133" s="2">
        <v>81.77</v>
      </c>
      <c r="G133" s="2">
        <v>107.42</v>
      </c>
      <c r="H133" s="2">
        <v>6323.12</v>
      </c>
      <c r="I133" s="2">
        <v>605.41</v>
      </c>
      <c r="J133" s="2">
        <v>1992.81</v>
      </c>
      <c r="K133" s="2"/>
      <c r="L133" s="2"/>
      <c r="M133" s="2"/>
      <c r="N133" s="2"/>
      <c r="O133" s="2"/>
      <c r="Q133" s="2">
        <f>SUM(OSRRefD14_40x)+IFERROR(SUM(OSRRefE14_40x),0)</f>
        <v>9110.5299999999988</v>
      </c>
    </row>
    <row r="134" spans="1:17" s="9" customFormat="1" hidden="1" outlineLevel="1" x14ac:dyDescent="0.25">
      <c r="A134" s="23"/>
      <c r="B134" s="10" t="str">
        <f>CONCATENATE("          ","5545", " - ","FREIGHT-IN-SPECIAL ORDERS")</f>
        <v xml:space="preserve">          5545 - FREIGHT-IN-SPECIAL ORDERS</v>
      </c>
      <c r="C134" s="22"/>
      <c r="D134" s="2">
        <v>300.39999999999998</v>
      </c>
      <c r="E134" s="2">
        <v>145.6</v>
      </c>
      <c r="F134" s="2">
        <v>214.61</v>
      </c>
      <c r="G134" s="2">
        <v>189.66</v>
      </c>
      <c r="H134" s="2">
        <v>37.590000000000003</v>
      </c>
      <c r="I134" s="2">
        <v>225.93</v>
      </c>
      <c r="J134" s="2"/>
      <c r="K134" s="2">
        <v>134.74</v>
      </c>
      <c r="L134" s="2">
        <v>17.63</v>
      </c>
      <c r="M134" s="2">
        <v>168.6</v>
      </c>
      <c r="N134" s="2"/>
      <c r="O134" s="2"/>
      <c r="Q134" s="2">
        <f>SUM(OSRRefD14_41x)+IFERROR(SUM(OSRRefE14_41x),0)</f>
        <v>1434.76</v>
      </c>
    </row>
    <row r="135" spans="1:17" s="9" customFormat="1" hidden="1" outlineLevel="1" x14ac:dyDescent="0.25">
      <c r="A135" s="23"/>
      <c r="B135" s="10" t="str">
        <f>CONCATENATE("          ","5581", " - ","FREIGHT-IN-ELECTRONICS")</f>
        <v xml:space="preserve">          5581 - FREIGHT-IN-ELECTRONICS</v>
      </c>
      <c r="C135" s="22"/>
      <c r="D135" s="2"/>
      <c r="E135" s="2"/>
      <c r="F135" s="2"/>
      <c r="G135" s="2"/>
      <c r="H135" s="2"/>
      <c r="I135" s="2">
        <v>31</v>
      </c>
      <c r="J135" s="2"/>
      <c r="K135" s="2"/>
      <c r="L135" s="2"/>
      <c r="M135" s="2"/>
      <c r="N135" s="2"/>
      <c r="O135" s="2"/>
      <c r="Q135" s="2">
        <f>SUM(OSRRefD14_42x)+IFERROR(SUM(OSRRefE14_42x),0)</f>
        <v>31</v>
      </c>
    </row>
    <row r="136" spans="1:17" s="9" customFormat="1" hidden="1" outlineLevel="1" x14ac:dyDescent="0.25">
      <c r="A136" s="23"/>
      <c r="B136" s="10" t="str">
        <f>CONCATENATE("          ","5582", " - ","FREIGHT-IN-COMPUTER HARDWARE")</f>
        <v xml:space="preserve">          5582 - FREIGHT-IN-COMPUTER HARDWARE</v>
      </c>
      <c r="C136" s="22"/>
      <c r="D136" s="2"/>
      <c r="E136" s="2"/>
      <c r="F136" s="2">
        <v>24</v>
      </c>
      <c r="G136" s="2">
        <v>70</v>
      </c>
      <c r="H136" s="2"/>
      <c r="I136" s="2"/>
      <c r="J136" s="2"/>
      <c r="K136" s="2">
        <v>31</v>
      </c>
      <c r="L136" s="2"/>
      <c r="M136" s="2"/>
      <c r="N136" s="2"/>
      <c r="O136" s="2"/>
      <c r="Q136" s="2">
        <f>SUM(OSRRefD14_43x)+IFERROR(SUM(OSRRefE14_43x),0)</f>
        <v>125</v>
      </c>
    </row>
    <row r="137" spans="1:17" s="9" customFormat="1" hidden="1" outlineLevel="1" x14ac:dyDescent="0.25">
      <c r="A137" s="23"/>
      <c r="B137" s="10" t="str">
        <f>CONCATENATE("          ","5583", " - ","FREIGHT-IN-COMPUTER EQUIPMENT")</f>
        <v xml:space="preserve">          5583 - FREIGHT-IN-COMPUTER EQUIPMENT</v>
      </c>
      <c r="C137" s="22"/>
      <c r="D137" s="2">
        <v>17.39</v>
      </c>
      <c r="E137" s="2"/>
      <c r="F137" s="2">
        <v>156</v>
      </c>
      <c r="G137" s="2">
        <v>51.78</v>
      </c>
      <c r="H137" s="2"/>
      <c r="I137" s="2">
        <v>7.23</v>
      </c>
      <c r="J137" s="2">
        <v>10.06</v>
      </c>
      <c r="K137" s="2"/>
      <c r="L137" s="2"/>
      <c r="M137" s="2"/>
      <c r="N137" s="2"/>
      <c r="O137" s="2"/>
      <c r="Q137" s="2">
        <f>SUM(OSRRefD14_44x)+IFERROR(SUM(OSRRefE14_44x),0)</f>
        <v>242.45999999999998</v>
      </c>
    </row>
    <row r="138" spans="1:17" s="9" customFormat="1" hidden="1" outlineLevel="1" x14ac:dyDescent="0.25">
      <c r="A138" s="23"/>
      <c r="B138" s="10" t="str">
        <f>CONCATENATE("          ","5585", " - ","FREIGHT-IN-SOFTWARE")</f>
        <v xml:space="preserve">          5585 - FREIGHT-IN-SOFTWARE</v>
      </c>
      <c r="C138" s="22"/>
      <c r="D138" s="2"/>
      <c r="E138" s="2"/>
      <c r="F138" s="2"/>
      <c r="G138" s="2"/>
      <c r="H138" s="2"/>
      <c r="I138" s="2"/>
      <c r="J138" s="2"/>
      <c r="K138" s="2"/>
      <c r="L138" s="2">
        <v>9.41</v>
      </c>
      <c r="M138" s="2"/>
      <c r="N138" s="2"/>
      <c r="O138" s="2"/>
      <c r="Q138" s="2">
        <f>SUM(OSRRefD14_45x)+IFERROR(SUM(OSRRefE14_45x),0)</f>
        <v>9.41</v>
      </c>
    </row>
    <row r="139" spans="1:17" s="9" customFormat="1" hidden="1" outlineLevel="1" x14ac:dyDescent="0.25">
      <c r="A139" s="23"/>
      <c r="B139" s="10" t="str">
        <f>CONCATENATE("          ","5586", " - ","FREIGHT-IN-COMPUTER SUPPLIES")</f>
        <v xml:space="preserve">          5586 - FREIGHT-IN-COMPUTER SUPPLIES</v>
      </c>
      <c r="C139" s="22"/>
      <c r="D139" s="2"/>
      <c r="E139" s="2">
        <v>24.12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Q139" s="2">
        <f>SUM(OSRRefD14_46x)+IFERROR(SUM(OSRRefE14_46x),0)</f>
        <v>24.12</v>
      </c>
    </row>
    <row r="140" spans="1:17" s="9" customFormat="1" hidden="1" outlineLevel="1" x14ac:dyDescent="0.25">
      <c r="A140" s="23"/>
      <c r="B140" s="10" t="str">
        <f>CONCATENATE("          ","5592", " - ","FREIGHT-IN-GRAD MERCH")</f>
        <v xml:space="preserve">          5592 - FREIGHT-IN-GRAD MERCH</v>
      </c>
      <c r="C140" s="22"/>
      <c r="D140" s="2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Q140" s="2">
        <f>SUM(OSRRefD14_47x)+IFERROR(SUM(OSRRefE14_47x),0)</f>
        <v>0</v>
      </c>
    </row>
    <row r="141" spans="1:17" x14ac:dyDescent="0.25">
      <c r="A141" s="5"/>
      <c r="B141" s="6"/>
      <c r="C141" s="6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Q141" s="3"/>
    </row>
    <row r="142" spans="1:17" s="15" customFormat="1" x14ac:dyDescent="0.25">
      <c r="A142" s="6"/>
      <c r="B142" s="17" t="s">
        <v>105</v>
      </c>
      <c r="C142" s="17"/>
      <c r="D142" s="8">
        <f t="shared" ref="D142:O142" si="40">IFERROR(+D10-D92, 0)</f>
        <v>110283.04999999993</v>
      </c>
      <c r="E142" s="8">
        <f t="shared" si="40"/>
        <v>528873.17000000062</v>
      </c>
      <c r="F142" s="8">
        <f t="shared" si="40"/>
        <v>139518.31000000029</v>
      </c>
      <c r="G142" s="8">
        <f t="shared" si="40"/>
        <v>89752.329999999871</v>
      </c>
      <c r="H142" s="8">
        <f t="shared" si="40"/>
        <v>49046.089999999967</v>
      </c>
      <c r="I142" s="8">
        <f t="shared" si="40"/>
        <v>105895.96000000008</v>
      </c>
      <c r="J142" s="8">
        <f t="shared" si="40"/>
        <v>425853.2000000003</v>
      </c>
      <c r="K142" s="8">
        <f t="shared" si="40"/>
        <v>90504.879999999946</v>
      </c>
      <c r="L142" s="8">
        <f t="shared" si="40"/>
        <v>158505.0799999999</v>
      </c>
      <c r="M142" s="8">
        <f t="shared" si="40"/>
        <v>249098.66000000003</v>
      </c>
      <c r="N142" s="8">
        <f t="shared" si="40"/>
        <v>136931.5</v>
      </c>
      <c r="O142" s="8">
        <f t="shared" si="40"/>
        <v>121133.90000000002</v>
      </c>
      <c r="Q142" s="8">
        <f>IFERROR(+Q10-Q92, 0)</f>
        <v>2205396.1299999952</v>
      </c>
    </row>
    <row r="143" spans="1:17" s="6" customFormat="1" x14ac:dyDescent="0.25">
      <c r="B143" s="16"/>
      <c r="C143" s="16"/>
      <c r="D143" s="4">
        <f t="shared" ref="D143:O143" si="41">IFERROR(D142/D10, 0)</f>
        <v>0.25315510036032035</v>
      </c>
      <c r="E143" s="4">
        <f t="shared" si="41"/>
        <v>0.25319955943435424</v>
      </c>
      <c r="F143" s="4">
        <f t="shared" si="41"/>
        <v>0.22048072681644054</v>
      </c>
      <c r="G143" s="4">
        <f t="shared" si="41"/>
        <v>0.2695703682487926</v>
      </c>
      <c r="H143" s="4">
        <f t="shared" si="41"/>
        <v>0.28723240089853208</v>
      </c>
      <c r="I143" s="4">
        <f t="shared" si="41"/>
        <v>0.33824647360605847</v>
      </c>
      <c r="J143" s="4">
        <f t="shared" si="41"/>
        <v>0.32557197294460294</v>
      </c>
      <c r="K143" s="4">
        <f t="shared" si="41"/>
        <v>0.2327949979913832</v>
      </c>
      <c r="L143" s="4">
        <f t="shared" si="41"/>
        <v>0.25858119041515748</v>
      </c>
      <c r="M143" s="4">
        <f t="shared" si="41"/>
        <v>0.29594931600113655</v>
      </c>
      <c r="N143" s="4">
        <f t="shared" si="41"/>
        <v>0.38963036312082167</v>
      </c>
      <c r="O143" s="4">
        <f t="shared" si="41"/>
        <v>0.26387844163154539</v>
      </c>
      <c r="P143" s="18"/>
      <c r="Q143" s="4">
        <f>IFERROR(Q142/Q10, 0)</f>
        <v>0.27790068414444813</v>
      </c>
    </row>
    <row r="144" spans="1:17" x14ac:dyDescent="0.25">
      <c r="A144" s="5"/>
      <c r="B144" s="6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Q144" s="1"/>
    </row>
    <row r="145" spans="1:17" s="15" customFormat="1" x14ac:dyDescent="0.25">
      <c r="A145" s="6"/>
      <c r="B145" s="16" t="s">
        <v>254</v>
      </c>
      <c r="C145" s="6"/>
      <c r="D145" s="14">
        <f>SUM(OSRRefD20x_0)</f>
        <v>330380.46000000008</v>
      </c>
      <c r="E145" s="14">
        <f>SUM(OSRRefD20x_1)</f>
        <v>239023.70999999996</v>
      </c>
      <c r="F145" s="14">
        <f>SUM(OSRRefD20x_2)</f>
        <v>272125.67</v>
      </c>
      <c r="G145" s="14">
        <f>SUM(OSRRefD20x_3)</f>
        <v>335616.07999999996</v>
      </c>
      <c r="H145" s="14">
        <f>SUM(OSRRefD20x_4)</f>
        <v>248037.63000000003</v>
      </c>
      <c r="I145" s="14">
        <f>SUM(OSRRefD20x_5)</f>
        <v>262468.05</v>
      </c>
      <c r="J145" s="14">
        <f>SUM(OSRRefD20x_6)</f>
        <v>313228.53000000003</v>
      </c>
      <c r="K145" s="14">
        <f>SUM(OSRRefD20x_7)</f>
        <v>262302.67</v>
      </c>
      <c r="L145" s="14">
        <f>SUM(OSRRefD20x_8)</f>
        <v>243630.88999999996</v>
      </c>
      <c r="M145" s="14">
        <f>SUM(OSRRefD20x_9)</f>
        <v>269213.74</v>
      </c>
      <c r="N145" s="14">
        <f>SUM(OSRRefE20x_0)</f>
        <v>292566.62182432896</v>
      </c>
      <c r="O145" s="14">
        <f>SUM(OSRRefE20x_1)</f>
        <v>283566.02365099138</v>
      </c>
      <c r="Q145" s="14">
        <f>SUM(OSRRefG20x)</f>
        <v>3352160.0754753193</v>
      </c>
    </row>
    <row r="146" spans="1:17" s="34" customFormat="1" collapsed="1" x14ac:dyDescent="0.25">
      <c r="A146" s="35"/>
      <c r="B146" s="11" t="str">
        <f>CONCATENATE("     ","*Benefits                                         ")</f>
        <v xml:space="preserve">     *Benefits                                         </v>
      </c>
      <c r="C146" s="11"/>
      <c r="D146" s="1">
        <f>SUM(OSRRefD21_0x_0)</f>
        <v>43394.840000000004</v>
      </c>
      <c r="E146" s="1">
        <f>SUM(OSRRefD21_0x_1)</f>
        <v>48289.410000000011</v>
      </c>
      <c r="F146" s="1">
        <f>SUM(OSRRefD21_0x_2)</f>
        <v>49795.060000000005</v>
      </c>
      <c r="G146" s="1">
        <f>SUM(OSRRefD21_0x_3)</f>
        <v>51389.229999999996</v>
      </c>
      <c r="H146" s="1">
        <f>SUM(OSRRefD21_0x_4)</f>
        <v>46507.57</v>
      </c>
      <c r="I146" s="1">
        <f>SUM(OSRRefD21_0x_5)</f>
        <v>46307.37000000001</v>
      </c>
      <c r="J146" s="1">
        <f>SUM(OSRRefD21_0x_6)</f>
        <v>54338.799999999996</v>
      </c>
      <c r="K146" s="1">
        <f>SUM(OSRRefD21_0x_7)</f>
        <v>47905.339999999989</v>
      </c>
      <c r="L146" s="1">
        <f>SUM(OSRRefD21_0x_8)</f>
        <v>48548.210000000006</v>
      </c>
      <c r="M146" s="1">
        <f>SUM(OSRRefD21_0x_9)</f>
        <v>56964.56</v>
      </c>
      <c r="N146" s="1">
        <f>SUM(OSRRefE21_0x_0)</f>
        <v>48806.877449867345</v>
      </c>
      <c r="O146" s="1">
        <f>SUM(OSRRefE21_0x_1)</f>
        <v>51303.785326529789</v>
      </c>
      <c r="Q146" s="2">
        <f>SUM(OSRRefD20_0x)+IFERROR(SUM(OSRRefE20_0x),0)</f>
        <v>593551.05277639721</v>
      </c>
    </row>
    <row r="147" spans="1:17" s="34" customFormat="1" hidden="1" outlineLevel="1" x14ac:dyDescent="0.25">
      <c r="A147" s="35"/>
      <c r="B147" s="10" t="str">
        <f>CONCATENATE("          ","6111", " - ","F.I.C.A.")</f>
        <v xml:space="preserve">          6111 - F.I.C.A.</v>
      </c>
      <c r="C147" s="11"/>
      <c r="D147" s="2">
        <v>7986.74</v>
      </c>
      <c r="E147" s="2">
        <v>11355.03</v>
      </c>
      <c r="F147" s="2">
        <v>11834.62</v>
      </c>
      <c r="G147" s="2">
        <v>13030.49</v>
      </c>
      <c r="H147" s="2">
        <v>6940.36</v>
      </c>
      <c r="I147" s="2">
        <v>7760.36</v>
      </c>
      <c r="J147" s="2">
        <v>8380.7099999999991</v>
      </c>
      <c r="K147" s="2">
        <v>7990.37</v>
      </c>
      <c r="L147" s="2">
        <v>7927.26</v>
      </c>
      <c r="M147" s="2">
        <v>11426.07</v>
      </c>
      <c r="N147" s="2">
        <v>7725.2227885788498</v>
      </c>
      <c r="O147" s="2">
        <v>10615.3046741163</v>
      </c>
      <c r="P147" s="9"/>
      <c r="Q147" s="2">
        <f>SUM(OSRRefD21_0_0x)+IFERROR(SUM(OSRRefE21_0_0x),0)</f>
        <v>112972.53746269512</v>
      </c>
    </row>
    <row r="148" spans="1:17" s="34" customFormat="1" hidden="1" outlineLevel="1" x14ac:dyDescent="0.25">
      <c r="A148" s="35"/>
      <c r="B148" s="10" t="str">
        <f>CONCATENATE("          ","6112", " - ","COMPENSATION INSURANCE")</f>
        <v xml:space="preserve">          6112 - COMPENSATION INSURANCE</v>
      </c>
      <c r="C148" s="11"/>
      <c r="D148" s="2">
        <v>1832.08</v>
      </c>
      <c r="E148" s="2">
        <v>2455.96</v>
      </c>
      <c r="F148" s="2">
        <v>4238.91</v>
      </c>
      <c r="G148" s="2">
        <v>1900.4</v>
      </c>
      <c r="H148" s="2">
        <v>3035.04</v>
      </c>
      <c r="I148" s="2">
        <v>3205.55</v>
      </c>
      <c r="J148" s="2">
        <v>850.35</v>
      </c>
      <c r="K148" s="2">
        <v>1917.8</v>
      </c>
      <c r="L148" s="2">
        <v>1901.46</v>
      </c>
      <c r="M148" s="2">
        <v>1775.21</v>
      </c>
      <c r="N148" s="2">
        <v>2831.8277200961602</v>
      </c>
      <c r="O148" s="2">
        <v>2602.5581219711498</v>
      </c>
      <c r="P148" s="9"/>
      <c r="Q148" s="2">
        <f>SUM(OSRRefD21_0_1x)+IFERROR(SUM(OSRRefE21_0_1x),0)</f>
        <v>28547.145842067304</v>
      </c>
    </row>
    <row r="149" spans="1:17" s="34" customFormat="1" hidden="1" outlineLevel="1" x14ac:dyDescent="0.25">
      <c r="A149" s="35"/>
      <c r="B149" s="10" t="str">
        <f>CONCATENATE("          ","6113", " - ","GROUP INSURANCE")</f>
        <v xml:space="preserve">          6113 - GROUP INSURANCE</v>
      </c>
      <c r="C149" s="11"/>
      <c r="D149" s="2">
        <v>14504.37</v>
      </c>
      <c r="E149" s="2">
        <v>16571.080000000002</v>
      </c>
      <c r="F149" s="2">
        <v>15816.61</v>
      </c>
      <c r="G149" s="2">
        <v>15836.91</v>
      </c>
      <c r="H149" s="2">
        <v>15836.91</v>
      </c>
      <c r="I149" s="2">
        <v>16046.6</v>
      </c>
      <c r="J149" s="2">
        <v>22674.14</v>
      </c>
      <c r="K149" s="2">
        <v>19341.650000000001</v>
      </c>
      <c r="L149" s="2">
        <v>19334.150000000001</v>
      </c>
      <c r="M149" s="2">
        <v>19337.900000000001</v>
      </c>
      <c r="N149" s="2">
        <v>19549.230769230799</v>
      </c>
      <c r="O149" s="2">
        <v>19549.230769230799</v>
      </c>
      <c r="P149" s="9"/>
      <c r="Q149" s="2">
        <f>SUM(OSRRefD21_0_2x)+IFERROR(SUM(OSRRefE21_0_2x),0)</f>
        <v>214398.7815384616</v>
      </c>
    </row>
    <row r="150" spans="1:17" s="34" customFormat="1" hidden="1" outlineLevel="1" x14ac:dyDescent="0.25">
      <c r="A150" s="35"/>
      <c r="B150" s="10" t="str">
        <f>CONCATENATE("          ","6114", " - ","STATE UNEMPLOYMENT INSURANCE")</f>
        <v xml:space="preserve">          6114 - STATE UNEMPLOYMENT INSURANCE</v>
      </c>
      <c r="C150" s="11"/>
      <c r="D150" s="2">
        <v>289.55</v>
      </c>
      <c r="E150" s="2">
        <v>393.65</v>
      </c>
      <c r="F150" s="2">
        <v>511.26</v>
      </c>
      <c r="G150" s="2">
        <v>324.23</v>
      </c>
      <c r="H150" s="2">
        <v>546.27</v>
      </c>
      <c r="I150" s="2"/>
      <c r="J150" s="2">
        <v>710.58</v>
      </c>
      <c r="K150" s="2">
        <v>334.74</v>
      </c>
      <c r="L150" s="2">
        <v>331.72</v>
      </c>
      <c r="M150" s="2">
        <v>321.77999999999997</v>
      </c>
      <c r="N150" s="2">
        <v>397.98659850000001</v>
      </c>
      <c r="O150" s="2">
        <v>365.76492524999998</v>
      </c>
      <c r="P150" s="9"/>
      <c r="Q150" s="2">
        <f>SUM(OSRRefD21_0_3x)+IFERROR(SUM(OSRRefE21_0_3x),0)</f>
        <v>4527.5315237499999</v>
      </c>
    </row>
    <row r="151" spans="1:17" s="34" customFormat="1" hidden="1" outlineLevel="1" x14ac:dyDescent="0.25">
      <c r="A151" s="35"/>
      <c r="B151" s="10" t="str">
        <f>CONCATENATE("          ","6115", " - ","P.E.R.S.")</f>
        <v xml:space="preserve">          6115 - P.E.R.S.</v>
      </c>
      <c r="C151" s="11"/>
      <c r="D151" s="2">
        <v>8423.1200000000008</v>
      </c>
      <c r="E151" s="2">
        <v>6331.99</v>
      </c>
      <c r="F151" s="2">
        <v>6106.89</v>
      </c>
      <c r="G151" s="2">
        <v>5115.0600000000004</v>
      </c>
      <c r="H151" s="2">
        <v>8554.51</v>
      </c>
      <c r="I151" s="2">
        <v>6633.21</v>
      </c>
      <c r="J151" s="2">
        <v>9771.85</v>
      </c>
      <c r="K151" s="2">
        <v>6467.86</v>
      </c>
      <c r="L151" s="2">
        <v>6531.85</v>
      </c>
      <c r="M151" s="2">
        <v>6349.33</v>
      </c>
      <c r="N151" s="2">
        <v>6101.8321092307597</v>
      </c>
      <c r="O151" s="2">
        <v>6101.8321092307597</v>
      </c>
      <c r="P151" s="9"/>
      <c r="Q151" s="2">
        <f>SUM(OSRRefD21_0_4x)+IFERROR(SUM(OSRRefE21_0_4x),0)</f>
        <v>82489.334218461518</v>
      </c>
    </row>
    <row r="152" spans="1:17" s="34" customFormat="1" hidden="1" outlineLevel="1" x14ac:dyDescent="0.25">
      <c r="A152" s="35"/>
      <c r="B152" s="10" t="str">
        <f>CONCATENATE("          ","6116", " - ","EDUCATIONAL BENEFITS")</f>
        <v xml:space="preserve">          6116 - EDUCATIONAL BENEFITS</v>
      </c>
      <c r="C152" s="11"/>
      <c r="D152" s="2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>
        <v>0</v>
      </c>
      <c r="O152" s="2">
        <v>0</v>
      </c>
      <c r="P152" s="9"/>
      <c r="Q152" s="2">
        <f>SUM(OSRRefD21_0_5x)+IFERROR(SUM(OSRRefE21_0_5x),0)</f>
        <v>0</v>
      </c>
    </row>
    <row r="153" spans="1:17" s="34" customFormat="1" hidden="1" outlineLevel="1" x14ac:dyDescent="0.25">
      <c r="A153" s="35"/>
      <c r="B153" s="10" t="str">
        <f>CONCATENATE("          ","6117", " - ","RETIREMENT STAFF HOURLY")</f>
        <v xml:space="preserve">          6117 - RETIREMENT STAFF HOURLY</v>
      </c>
      <c r="C153" s="11"/>
      <c r="D153" s="2">
        <v>580.67999999999995</v>
      </c>
      <c r="E153" s="2">
        <v>446.19</v>
      </c>
      <c r="F153" s="2">
        <v>434.71</v>
      </c>
      <c r="G153" s="2">
        <v>378.72</v>
      </c>
      <c r="H153" s="2">
        <v>387.43</v>
      </c>
      <c r="I153" s="2">
        <v>611.42999999999995</v>
      </c>
      <c r="J153" s="2">
        <v>682.92</v>
      </c>
      <c r="K153" s="2">
        <v>685.38</v>
      </c>
      <c r="L153" s="2">
        <v>914.84</v>
      </c>
      <c r="M153" s="2">
        <v>534.61</v>
      </c>
      <c r="N153" s="2"/>
      <c r="O153" s="2"/>
      <c r="P153" s="9"/>
      <c r="Q153" s="2">
        <f>SUM(OSRRefD21_0_6x)+IFERROR(SUM(OSRRefE21_0_6x),0)</f>
        <v>5656.91</v>
      </c>
    </row>
    <row r="154" spans="1:17" s="34" customFormat="1" hidden="1" outlineLevel="1" x14ac:dyDescent="0.25">
      <c r="A154" s="35"/>
      <c r="B154" s="10" t="str">
        <f>CONCATENATE("          ","6118", " - ","VACATION")</f>
        <v xml:space="preserve">          6118 - VACATION</v>
      </c>
      <c r="C154" s="11"/>
      <c r="D154" s="2">
        <v>4991.5</v>
      </c>
      <c r="E154" s="2">
        <v>5248.76</v>
      </c>
      <c r="F154" s="2">
        <v>4962.71</v>
      </c>
      <c r="G154" s="2">
        <v>7230.84</v>
      </c>
      <c r="H154" s="2">
        <v>5424</v>
      </c>
      <c r="I154" s="2">
        <v>6117.98</v>
      </c>
      <c r="J154" s="2">
        <v>6046.1</v>
      </c>
      <c r="K154" s="2">
        <v>5692.2</v>
      </c>
      <c r="L154" s="2">
        <v>5722.61</v>
      </c>
      <c r="M154" s="2">
        <v>9009.1299999999992</v>
      </c>
      <c r="N154" s="2">
        <v>5213.9232476923098</v>
      </c>
      <c r="O154" s="2">
        <v>5213.9232476923098</v>
      </c>
      <c r="P154" s="9"/>
      <c r="Q154" s="2">
        <f>SUM(OSRRefD21_0_7x)+IFERROR(SUM(OSRRefE21_0_7x),0)</f>
        <v>70873.676495384614</v>
      </c>
    </row>
    <row r="155" spans="1:17" s="34" customFormat="1" hidden="1" outlineLevel="1" x14ac:dyDescent="0.25">
      <c r="A155" s="35"/>
      <c r="B155" s="10" t="str">
        <f>CONCATENATE("          ","6119", " - ","SICK LEAVE")</f>
        <v xml:space="preserve">          6119 - SICK LEAVE</v>
      </c>
      <c r="C155" s="11"/>
      <c r="D155" s="2">
        <v>3592.55</v>
      </c>
      <c r="E155" s="2">
        <v>3875.78</v>
      </c>
      <c r="F155" s="2">
        <v>3779.84</v>
      </c>
      <c r="G155" s="2">
        <v>5525.85</v>
      </c>
      <c r="H155" s="2">
        <v>3991.76</v>
      </c>
      <c r="I155" s="2">
        <v>4299.62</v>
      </c>
      <c r="J155" s="2">
        <v>4206.97</v>
      </c>
      <c r="K155" s="2">
        <v>4091.66</v>
      </c>
      <c r="L155" s="2">
        <v>4091.66</v>
      </c>
      <c r="M155" s="2">
        <v>6137.49</v>
      </c>
      <c r="N155" s="2">
        <v>4836.8542165384697</v>
      </c>
      <c r="O155" s="2">
        <v>4705.1714790384704</v>
      </c>
      <c r="P155" s="9"/>
      <c r="Q155" s="2">
        <f>SUM(OSRRefD21_0_8x)+IFERROR(SUM(OSRRefE21_0_8x),0)</f>
        <v>53135.205695576937</v>
      </c>
    </row>
    <row r="156" spans="1:17" s="34" customFormat="1" hidden="1" outlineLevel="1" x14ac:dyDescent="0.25">
      <c r="A156" s="35"/>
      <c r="B156" s="10" t="str">
        <f>CONCATENATE("          ","6156", " - ","EMPLOYEE MEALS")</f>
        <v xml:space="preserve">          6156 - EMPLOYEE MEALS</v>
      </c>
      <c r="C156" s="11"/>
      <c r="D156" s="2">
        <v>1194.25</v>
      </c>
      <c r="E156" s="2">
        <v>1610.97</v>
      </c>
      <c r="F156" s="2">
        <v>2109.5100000000002</v>
      </c>
      <c r="G156" s="2">
        <v>2046.73</v>
      </c>
      <c r="H156" s="2">
        <v>1791.29</v>
      </c>
      <c r="I156" s="2">
        <v>1632.62</v>
      </c>
      <c r="J156" s="2">
        <v>1015.18</v>
      </c>
      <c r="K156" s="2">
        <v>1383.68</v>
      </c>
      <c r="L156" s="2">
        <v>1792.66</v>
      </c>
      <c r="M156" s="2">
        <v>2073.04</v>
      </c>
      <c r="N156" s="2">
        <v>2150</v>
      </c>
      <c r="O156" s="2">
        <v>2150</v>
      </c>
      <c r="P156" s="9"/>
      <c r="Q156" s="2">
        <f>SUM(OSRRefD21_0_9x)+IFERROR(SUM(OSRRefE21_0_9x),0)</f>
        <v>20949.93</v>
      </c>
    </row>
    <row r="157" spans="1:17" s="34" customFormat="1" collapsed="1" x14ac:dyDescent="0.25">
      <c r="A157" s="35"/>
      <c r="B157" s="11" t="str">
        <f>CONCATENATE("     ","*Payroll                                          ")</f>
        <v xml:space="preserve">     *Payroll                                          </v>
      </c>
      <c r="C157" s="11"/>
      <c r="D157" s="1">
        <f>SUM(OSRRefD21_1x_0)</f>
        <v>126895.38000000002</v>
      </c>
      <c r="E157" s="1">
        <f>SUM(OSRRefD21_1x_1)</f>
        <v>169225.68</v>
      </c>
      <c r="F157" s="1">
        <f>SUM(OSRRefD21_1x_2)</f>
        <v>127866.67999999998</v>
      </c>
      <c r="G157" s="1">
        <f>SUM(OSRRefD21_1x_3)</f>
        <v>126380.26</v>
      </c>
      <c r="H157" s="1">
        <f>SUM(OSRRefD21_1x_4)</f>
        <v>99521.640000000014</v>
      </c>
      <c r="I157" s="1">
        <f>SUM(OSRRefD21_1x_5)</f>
        <v>127761</v>
      </c>
      <c r="J157" s="1">
        <f>SUM(OSRRefD21_1x_6)</f>
        <v>174778.48</v>
      </c>
      <c r="K157" s="1">
        <f>SUM(OSRRefD21_1x_7)</f>
        <v>119631.72000000002</v>
      </c>
      <c r="L157" s="1">
        <f>SUM(OSRRefD21_1x_8)</f>
        <v>124811.92</v>
      </c>
      <c r="M157" s="1">
        <f>SUM(OSRRefD21_1x_9)</f>
        <v>134061.96</v>
      </c>
      <c r="N157" s="1">
        <f>SUM(OSRRefE21_1x_0)</f>
        <v>143754.74437446162</v>
      </c>
      <c r="O157" s="1">
        <f>SUM(OSRRefE21_1x_1)</f>
        <v>131398.23832446162</v>
      </c>
      <c r="Q157" s="2">
        <f>SUM(OSRRefD20_1x)+IFERROR(SUM(OSRRefE20_1x),0)</f>
        <v>1606087.7026989232</v>
      </c>
    </row>
    <row r="158" spans="1:17" s="34" customFormat="1" hidden="1" outlineLevel="1" x14ac:dyDescent="0.25">
      <c r="A158" s="35"/>
      <c r="B158" s="10" t="str">
        <f>CONCATENATE("          ","6001", " - ","ADMINISTRATIVE SALARIES")</f>
        <v xml:space="preserve">          6001 - ADMINISTRATIVE SALARIES</v>
      </c>
      <c r="C158" s="11"/>
      <c r="D158" s="2">
        <v>4525.8500000000004</v>
      </c>
      <c r="E158" s="2">
        <v>4205.74</v>
      </c>
      <c r="F158" s="2">
        <v>4205.74</v>
      </c>
      <c r="G158" s="2">
        <v>4205.17</v>
      </c>
      <c r="H158" s="2">
        <v>3995.45</v>
      </c>
      <c r="I158" s="2">
        <v>3745.16</v>
      </c>
      <c r="J158" s="2">
        <v>5332.74</v>
      </c>
      <c r="K158" s="2">
        <v>4280.74</v>
      </c>
      <c r="L158" s="2">
        <v>4279.74</v>
      </c>
      <c r="M158" s="2">
        <v>4416.46</v>
      </c>
      <c r="N158" s="2">
        <v>3807.6923076923099</v>
      </c>
      <c r="O158" s="2">
        <v>3807.6923076923099</v>
      </c>
      <c r="P158" s="9"/>
      <c r="Q158" s="2">
        <f>SUM(OSRRefD21_1_0x)+IFERROR(SUM(OSRRefE21_1_0x),0)</f>
        <v>50808.174615384611</v>
      </c>
    </row>
    <row r="159" spans="1:17" s="34" customFormat="1" hidden="1" outlineLevel="1" x14ac:dyDescent="0.25">
      <c r="A159" s="35"/>
      <c r="B159" s="10" t="str">
        <f>CONCATENATE("          ","6002", " - ","STAFF SALARIES")</f>
        <v xml:space="preserve">          6002 - STAFF SALARIES</v>
      </c>
      <c r="C159" s="11"/>
      <c r="D159" s="2">
        <v>67061.47</v>
      </c>
      <c r="E159" s="2">
        <v>56112.83</v>
      </c>
      <c r="F159" s="2">
        <v>55721.02</v>
      </c>
      <c r="G159" s="2">
        <v>57436.28</v>
      </c>
      <c r="H159" s="2">
        <v>49923.73</v>
      </c>
      <c r="I159" s="2">
        <v>62494.21</v>
      </c>
      <c r="J159" s="2">
        <v>82169.56</v>
      </c>
      <c r="K159" s="2">
        <v>62628.89</v>
      </c>
      <c r="L159" s="2">
        <v>62207.73</v>
      </c>
      <c r="M159" s="2">
        <v>70695.399999999994</v>
      </c>
      <c r="N159" s="2">
        <v>59906.280286769303</v>
      </c>
      <c r="O159" s="2">
        <v>59906.280286769303</v>
      </c>
      <c r="P159" s="9"/>
      <c r="Q159" s="2">
        <f>SUM(OSRRefD21_1_1x)+IFERROR(SUM(OSRRefE21_1_1x),0)</f>
        <v>746263.68057353876</v>
      </c>
    </row>
    <row r="160" spans="1:17" s="34" customFormat="1" hidden="1" outlineLevel="1" x14ac:dyDescent="0.25">
      <c r="A160" s="35"/>
      <c r="B160" s="10" t="str">
        <f>CONCATENATE("          ","6003", " - ","STAFF HOURLY-9 MONTH")</f>
        <v xml:space="preserve">          6003 - STAFF HOURLY-9 MONTH</v>
      </c>
      <c r="C160" s="1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>
        <v>0</v>
      </c>
      <c r="O160" s="2">
        <v>0</v>
      </c>
      <c r="P160" s="9"/>
      <c r="Q160" s="2">
        <f>SUM(OSRRefD21_1_2x)+IFERROR(SUM(OSRRefE21_1_2x),0)</f>
        <v>0</v>
      </c>
    </row>
    <row r="161" spans="1:17" s="34" customFormat="1" hidden="1" outlineLevel="1" x14ac:dyDescent="0.25">
      <c r="A161" s="35"/>
      <c r="B161" s="10" t="str">
        <f>CONCATENATE("          ","6004", " - ","STAFF HOURLY")</f>
        <v xml:space="preserve">          6004 - STAFF HOURLY</v>
      </c>
      <c r="C161" s="11"/>
      <c r="D161" s="2">
        <v>18737.27</v>
      </c>
      <c r="E161" s="2">
        <v>17687.32</v>
      </c>
      <c r="F161" s="2">
        <v>19602.669999999998</v>
      </c>
      <c r="G161" s="2">
        <v>21970.18</v>
      </c>
      <c r="H161" s="2">
        <v>15334.86</v>
      </c>
      <c r="I161" s="2">
        <v>19040.77</v>
      </c>
      <c r="J161" s="2">
        <v>22328.73</v>
      </c>
      <c r="K161" s="2">
        <v>19090.79</v>
      </c>
      <c r="L161" s="2">
        <v>15435.7</v>
      </c>
      <c r="M161" s="2">
        <v>22574.34</v>
      </c>
      <c r="N161" s="2">
        <v>27852.99008</v>
      </c>
      <c r="O161" s="2">
        <v>27852.99008</v>
      </c>
      <c r="P161" s="9"/>
      <c r="Q161" s="2">
        <f>SUM(OSRRefD21_1_3x)+IFERROR(SUM(OSRRefE21_1_3x),0)</f>
        <v>247508.61016000004</v>
      </c>
    </row>
    <row r="162" spans="1:17" s="34" customFormat="1" hidden="1" outlineLevel="1" x14ac:dyDescent="0.25">
      <c r="A162" s="35"/>
      <c r="B162" s="10" t="str">
        <f>CONCATENATE("          ","6005", " - ","TEMPORARY WAGES-HOURLY")</f>
        <v xml:space="preserve">          6005 - TEMPORARY WAGES-HOURLY</v>
      </c>
      <c r="C162" s="11"/>
      <c r="D162" s="2">
        <v>12385.55</v>
      </c>
      <c r="E162" s="2">
        <v>22505.49</v>
      </c>
      <c r="F162" s="2">
        <v>25841.46</v>
      </c>
      <c r="G162" s="2">
        <v>19636.400000000001</v>
      </c>
      <c r="H162" s="2">
        <v>7697.23</v>
      </c>
      <c r="I162" s="2">
        <v>9577.32</v>
      </c>
      <c r="J162" s="2">
        <v>12550.77</v>
      </c>
      <c r="K162" s="2">
        <v>12213.85</v>
      </c>
      <c r="L162" s="2">
        <v>13818.91</v>
      </c>
      <c r="M162" s="2">
        <v>16005.07</v>
      </c>
      <c r="N162" s="2">
        <v>1926.6</v>
      </c>
      <c r="O162" s="2">
        <v>1971.06</v>
      </c>
      <c r="P162" s="9"/>
      <c r="Q162" s="2">
        <f>SUM(OSRRefD21_1_4x)+IFERROR(SUM(OSRRefE21_1_4x),0)</f>
        <v>156129.71</v>
      </c>
    </row>
    <row r="163" spans="1:17" s="34" customFormat="1" hidden="1" outlineLevel="1" x14ac:dyDescent="0.25">
      <c r="A163" s="35"/>
      <c r="B163" s="10" t="str">
        <f>CONCATENATE("          ","6006", " - ","TEMPORARY PART TIME")</f>
        <v xml:space="preserve">          6006 - TEMPORARY PART TIME</v>
      </c>
      <c r="C163" s="11"/>
      <c r="D163" s="2">
        <v>2048.21</v>
      </c>
      <c r="E163" s="2">
        <v>1927.34</v>
      </c>
      <c r="F163" s="2">
        <v>1728.86</v>
      </c>
      <c r="G163" s="2">
        <v>1802.76</v>
      </c>
      <c r="H163" s="2">
        <v>1048.44</v>
      </c>
      <c r="I163" s="2">
        <v>1432.35</v>
      </c>
      <c r="J163" s="2"/>
      <c r="K163" s="2">
        <v>2042.44</v>
      </c>
      <c r="L163" s="2">
        <v>2022.89</v>
      </c>
      <c r="M163" s="2">
        <v>2893.47</v>
      </c>
      <c r="N163" s="2">
        <v>0</v>
      </c>
      <c r="O163" s="2">
        <v>0</v>
      </c>
      <c r="P163" s="9"/>
      <c r="Q163" s="2">
        <f>SUM(OSRRefD21_1_5x)+IFERROR(SUM(OSRRefE21_1_5x),0)</f>
        <v>16946.760000000002</v>
      </c>
    </row>
    <row r="164" spans="1:17" s="34" customFormat="1" hidden="1" outlineLevel="1" x14ac:dyDescent="0.25">
      <c r="A164" s="35"/>
      <c r="B164" s="10" t="str">
        <f>CONCATENATE("          ","6007", " - ","STUDENT HOURLY")</f>
        <v xml:space="preserve">          6007 - STUDENT HOURLY</v>
      </c>
      <c r="C164" s="11"/>
      <c r="D164" s="2">
        <v>22137.03</v>
      </c>
      <c r="E164" s="2">
        <v>66353.929999999993</v>
      </c>
      <c r="F164" s="2">
        <v>19711.259999999998</v>
      </c>
      <c r="G164" s="2">
        <v>19853.45</v>
      </c>
      <c r="H164" s="2">
        <v>20639.36</v>
      </c>
      <c r="I164" s="2">
        <v>30388.03</v>
      </c>
      <c r="J164" s="2">
        <v>51151.8</v>
      </c>
      <c r="K164" s="2">
        <v>18251.09</v>
      </c>
      <c r="L164" s="2">
        <v>25934.58</v>
      </c>
      <c r="M164" s="2">
        <v>15886.89</v>
      </c>
      <c r="N164" s="2">
        <v>711.5625</v>
      </c>
      <c r="O164" s="2">
        <v>37860.215649999998</v>
      </c>
      <c r="P164" s="9"/>
      <c r="Q164" s="2">
        <f>SUM(OSRRefD21_1_6x)+IFERROR(SUM(OSRRefE21_1_6x),0)</f>
        <v>328879.19814999995</v>
      </c>
    </row>
    <row r="165" spans="1:17" s="34" customFormat="1" hidden="1" outlineLevel="1" x14ac:dyDescent="0.25">
      <c r="A165" s="35"/>
      <c r="B165" s="10" t="str">
        <f>CONCATENATE("          ","6008", " - ","STUDENT HOURLY-FICA EXEMPT")</f>
        <v xml:space="preserve">          6008 - STUDENT HOURLY-FICA EXEMPT</v>
      </c>
      <c r="C165" s="11"/>
      <c r="D165" s="2"/>
      <c r="E165" s="2">
        <v>433.03</v>
      </c>
      <c r="F165" s="2">
        <v>1055.67</v>
      </c>
      <c r="G165" s="2">
        <v>1476.02</v>
      </c>
      <c r="H165" s="2">
        <v>882.57</v>
      </c>
      <c r="I165" s="2">
        <v>1083.1600000000001</v>
      </c>
      <c r="J165" s="2">
        <v>1244.8800000000001</v>
      </c>
      <c r="K165" s="2">
        <v>1123.92</v>
      </c>
      <c r="L165" s="2">
        <v>1112.3699999999999</v>
      </c>
      <c r="M165" s="2">
        <v>1590.33</v>
      </c>
      <c r="N165" s="2">
        <v>49549.619200000001</v>
      </c>
      <c r="O165" s="2">
        <v>0</v>
      </c>
      <c r="P165" s="9"/>
      <c r="Q165" s="2">
        <f>SUM(OSRRefD21_1_7x)+IFERROR(SUM(OSRRefE21_1_7x),0)</f>
        <v>59551.569199999998</v>
      </c>
    </row>
    <row r="166" spans="1:17" s="34" customFormat="1" hidden="1" outlineLevel="1" x14ac:dyDescent="0.25">
      <c r="A166" s="35"/>
      <c r="B166" s="10" t="str">
        <f>CONCATENATE("          ","6009", " - ","TEMPORARY-SEASONAL")</f>
        <v xml:space="preserve">          6009 - TEMPORARY-SEASONAL</v>
      </c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>
        <v>0</v>
      </c>
      <c r="O166" s="2">
        <v>0</v>
      </c>
      <c r="P166" s="9"/>
      <c r="Q166" s="2">
        <f>SUM(OSRRefD21_1_8x)+IFERROR(SUM(OSRRefE21_1_8x),0)</f>
        <v>0</v>
      </c>
    </row>
    <row r="167" spans="1:17" s="34" customFormat="1" hidden="1" outlineLevel="1" x14ac:dyDescent="0.25">
      <c r="A167" s="35"/>
      <c r="B167" s="10" t="str">
        <f>CONCATENATE("          ","6010", " - ","GRATUITY")</f>
        <v xml:space="preserve">          6010 - GRATUITY</v>
      </c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>
        <v>0</v>
      </c>
      <c r="O167" s="2">
        <v>0</v>
      </c>
      <c r="P167" s="9"/>
      <c r="Q167" s="2">
        <f>SUM(OSRRefD21_1_9x)+IFERROR(SUM(OSRRefE21_1_9x),0)</f>
        <v>0</v>
      </c>
    </row>
    <row r="168" spans="1:17" s="34" customFormat="1" collapsed="1" x14ac:dyDescent="0.25">
      <c r="A168" s="35"/>
      <c r="B168" s="11" t="str">
        <f>CONCATENATE("     ","Advertising/Promo                                 ")</f>
        <v xml:space="preserve">     Advertising/Promo                                 </v>
      </c>
      <c r="C168" s="11"/>
      <c r="D168" s="1">
        <f>SUM(OSRRefD21_2x_0)</f>
        <v>2740.48</v>
      </c>
      <c r="E168" s="1">
        <f>SUM(OSRRefD21_2x_1)</f>
        <v>9510.6</v>
      </c>
      <c r="F168" s="1">
        <f>SUM(OSRRefD21_2x_2)</f>
        <v>391.39</v>
      </c>
      <c r="G168" s="1">
        <f>SUM(OSRRefD21_2x_3)</f>
        <v>1316.16</v>
      </c>
      <c r="H168" s="1">
        <f>SUM(OSRRefD21_2x_4)</f>
        <v>648.78</v>
      </c>
      <c r="I168" s="1">
        <f>SUM(OSRRefD21_2x_5)</f>
        <v>343.98</v>
      </c>
      <c r="J168" s="1">
        <f>SUM(OSRRefD21_2x_6)</f>
        <v>1681.68</v>
      </c>
      <c r="K168" s="1">
        <f>SUM(OSRRefD21_2x_7)</f>
        <v>114.65</v>
      </c>
      <c r="L168" s="1">
        <f>SUM(OSRRefD21_2x_8)</f>
        <v>73.430000000000007</v>
      </c>
      <c r="M168" s="1">
        <f>SUM(OSRRefD21_2x_9)</f>
        <v>1340.29</v>
      </c>
      <c r="N168" s="1">
        <f>SUM(OSRRefE21_2x_0)</f>
        <v>850</v>
      </c>
      <c r="O168" s="1">
        <f>SUM(OSRRefE21_2x_1)</f>
        <v>400</v>
      </c>
      <c r="Q168" s="2">
        <f>SUM(OSRRefD20_2x)+IFERROR(SUM(OSRRefE20_2x),0)</f>
        <v>19411.440000000002</v>
      </c>
    </row>
    <row r="169" spans="1:17" s="34" customFormat="1" hidden="1" outlineLevel="1" x14ac:dyDescent="0.25">
      <c r="A169" s="35"/>
      <c r="B169" s="10" t="str">
        <f>CONCATENATE("          ","6362", " - ","ADVERTISING EXPENSE")</f>
        <v xml:space="preserve">          6362 - ADVERTISING EXPENSE</v>
      </c>
      <c r="C169" s="11"/>
      <c r="D169" s="2">
        <v>2740.48</v>
      </c>
      <c r="E169" s="2">
        <v>9510.6</v>
      </c>
      <c r="F169" s="2">
        <v>391.39</v>
      </c>
      <c r="G169" s="2">
        <v>1316.16</v>
      </c>
      <c r="H169" s="2">
        <v>648.78</v>
      </c>
      <c r="I169" s="2">
        <v>343.98</v>
      </c>
      <c r="J169" s="2">
        <v>1681.68</v>
      </c>
      <c r="K169" s="2">
        <v>114.65</v>
      </c>
      <c r="L169" s="2">
        <v>73.430000000000007</v>
      </c>
      <c r="M169" s="2">
        <v>1340.29</v>
      </c>
      <c r="N169" s="2">
        <v>850</v>
      </c>
      <c r="O169" s="2">
        <v>400</v>
      </c>
      <c r="P169" s="9"/>
      <c r="Q169" s="2">
        <f>SUM(OSRRefD21_2_0x)+IFERROR(SUM(OSRRefE21_2_0x),0)</f>
        <v>19411.440000000002</v>
      </c>
    </row>
    <row r="170" spans="1:17" s="34" customFormat="1" collapsed="1" x14ac:dyDescent="0.25">
      <c r="A170" s="35"/>
      <c r="B170" s="11" t="str">
        <f>CONCATENATE("     ","Bad Debts/Over/Short                              ")</f>
        <v xml:space="preserve">     Bad Debts/Over/Short                              </v>
      </c>
      <c r="C170" s="11"/>
      <c r="D170" s="1">
        <f>SUM(OSRRefD21_3x_0)</f>
        <v>4.9800000000000004</v>
      </c>
      <c r="E170" s="1">
        <f>SUM(OSRRefD21_3x_1)</f>
        <v>66.81</v>
      </c>
      <c r="F170" s="1">
        <f>SUM(OSRRefD21_3x_2)</f>
        <v>8.2200000000000006</v>
      </c>
      <c r="G170" s="1">
        <f>SUM(OSRRefD21_3x_3)</f>
        <v>-29.45</v>
      </c>
      <c r="H170" s="1">
        <f>SUM(OSRRefD21_3x_4)</f>
        <v>0.74</v>
      </c>
      <c r="I170" s="1">
        <f>SUM(OSRRefD21_3x_5)</f>
        <v>-5.34</v>
      </c>
      <c r="J170" s="1">
        <f>SUM(OSRRefD21_3x_6)</f>
        <v>1872.1</v>
      </c>
      <c r="K170" s="1">
        <f>SUM(OSRRefD21_3x_7)</f>
        <v>3282.4</v>
      </c>
      <c r="L170" s="1">
        <f>SUM(OSRRefD21_3x_8)</f>
        <v>-16.510000000000002</v>
      </c>
      <c r="M170" s="1">
        <f>SUM(OSRRefD21_3x_9)</f>
        <v>-1.25</v>
      </c>
      <c r="N170" s="1">
        <f>SUM(OSRRefE21_3x_0)</f>
        <v>90</v>
      </c>
      <c r="O170" s="1">
        <f>SUM(OSRRefE21_3x_1)</f>
        <v>90</v>
      </c>
      <c r="Q170" s="2">
        <f>SUM(OSRRefD20_3x)+IFERROR(SUM(OSRRefE20_3x),0)</f>
        <v>5362.7</v>
      </c>
    </row>
    <row r="171" spans="1:17" s="34" customFormat="1" hidden="1" outlineLevel="1" x14ac:dyDescent="0.25">
      <c r="A171" s="35"/>
      <c r="B171" s="10" t="str">
        <f>CONCATENATE("          ","6272", " - ","CASH (OVER/SHORT)")</f>
        <v xml:space="preserve">          6272 - CASH (OVER/SHORT)</v>
      </c>
      <c r="C171" s="11"/>
      <c r="D171" s="2">
        <v>4.9800000000000004</v>
      </c>
      <c r="E171" s="2">
        <v>66.81</v>
      </c>
      <c r="F171" s="2">
        <v>8.2200000000000006</v>
      </c>
      <c r="G171" s="2">
        <v>-29.45</v>
      </c>
      <c r="H171" s="2">
        <v>0.74</v>
      </c>
      <c r="I171" s="2">
        <v>-5.34</v>
      </c>
      <c r="J171" s="2">
        <v>-124.68</v>
      </c>
      <c r="K171" s="2">
        <v>-70.239999999999995</v>
      </c>
      <c r="L171" s="2">
        <v>-16.510000000000002</v>
      </c>
      <c r="M171" s="2">
        <v>-1.25</v>
      </c>
      <c r="N171" s="2">
        <v>60</v>
      </c>
      <c r="O171" s="2">
        <v>60</v>
      </c>
      <c r="P171" s="9"/>
      <c r="Q171" s="2">
        <f>SUM(OSRRefD21_3_0x)+IFERROR(SUM(OSRRefE21_3_0x),0)</f>
        <v>-46.71999999999997</v>
      </c>
    </row>
    <row r="172" spans="1:17" s="34" customFormat="1" hidden="1" outlineLevel="1" x14ac:dyDescent="0.25">
      <c r="A172" s="35"/>
      <c r="B172" s="10" t="str">
        <f>CONCATENATE("          ","6342", " - ","BAD DEBT")</f>
        <v xml:space="preserve">          6342 - BAD DEBT</v>
      </c>
      <c r="C172" s="11"/>
      <c r="D172" s="2"/>
      <c r="E172" s="2"/>
      <c r="F172" s="2"/>
      <c r="G172" s="2"/>
      <c r="H172" s="2"/>
      <c r="I172" s="2"/>
      <c r="J172" s="2">
        <v>1996.78</v>
      </c>
      <c r="K172" s="2">
        <v>3352.64</v>
      </c>
      <c r="L172" s="2"/>
      <c r="M172" s="2"/>
      <c r="N172" s="2">
        <v>30</v>
      </c>
      <c r="O172" s="2">
        <v>30</v>
      </c>
      <c r="P172" s="9"/>
      <c r="Q172" s="2">
        <f>SUM(OSRRefD21_3_1x)+IFERROR(SUM(OSRRefE21_3_1x),0)</f>
        <v>5409.42</v>
      </c>
    </row>
    <row r="173" spans="1:17" s="34" customFormat="1" collapsed="1" x14ac:dyDescent="0.25">
      <c r="A173" s="35"/>
      <c r="B173" s="11" t="str">
        <f>CONCATENATE("     ","Bank/card Fees                                    ")</f>
        <v xml:space="preserve">     Bank/card Fees                                    </v>
      </c>
      <c r="C173" s="11"/>
      <c r="D173" s="1">
        <f>SUM(OSRRefD21_4x_0)</f>
        <v>3117.21</v>
      </c>
      <c r="E173" s="1">
        <f>SUM(OSRRefD21_4x_1)</f>
        <v>22080.34</v>
      </c>
      <c r="F173" s="1">
        <f>SUM(OSRRefD21_4x_2)</f>
        <v>9050.2199999999993</v>
      </c>
      <c r="G173" s="1">
        <f>SUM(OSRRefD21_4x_3)</f>
        <v>4891.9799999999996</v>
      </c>
      <c r="H173" s="1">
        <f>SUM(OSRRefD21_4x_4)</f>
        <v>2442.63</v>
      </c>
      <c r="I173" s="1">
        <f>SUM(OSRRefD21_4x_5)</f>
        <v>5214.3999999999996</v>
      </c>
      <c r="J173" s="1">
        <f>SUM(OSRRefD21_4x_6)</f>
        <v>14947.88</v>
      </c>
      <c r="K173" s="1">
        <f>SUM(OSRRefD21_4x_7)</f>
        <v>3756.42</v>
      </c>
      <c r="L173" s="1">
        <f>SUM(OSRRefD21_4x_8)</f>
        <v>3823.93</v>
      </c>
      <c r="M173" s="1">
        <f>SUM(OSRRefD21_4x_9)</f>
        <v>5310.85</v>
      </c>
      <c r="N173" s="1">
        <f>SUM(OSRRefE21_4x_0)</f>
        <v>4500</v>
      </c>
      <c r="O173" s="1">
        <f>SUM(OSRRefE21_4x_1)</f>
        <v>900</v>
      </c>
      <c r="Q173" s="2">
        <f>SUM(OSRRefD20_4x)+IFERROR(SUM(OSRRefE20_4x),0)</f>
        <v>80035.86</v>
      </c>
    </row>
    <row r="174" spans="1:17" s="34" customFormat="1" hidden="1" outlineLevel="1" x14ac:dyDescent="0.25">
      <c r="A174" s="35"/>
      <c r="B174" s="10" t="str">
        <f>CONCATENATE("          ","6381", " - ","BANK/CREDIT CARD FEES")</f>
        <v xml:space="preserve">          6381 - BANK/CREDIT CARD FEES</v>
      </c>
      <c r="C174" s="11"/>
      <c r="D174" s="2">
        <v>3117.21</v>
      </c>
      <c r="E174" s="2">
        <v>22080.34</v>
      </c>
      <c r="F174" s="2">
        <v>9050.2199999999993</v>
      </c>
      <c r="G174" s="2">
        <v>4891.9799999999996</v>
      </c>
      <c r="H174" s="2">
        <v>2442.63</v>
      </c>
      <c r="I174" s="2">
        <v>5214.3999999999996</v>
      </c>
      <c r="J174" s="2">
        <v>14947.88</v>
      </c>
      <c r="K174" s="2">
        <v>3756.42</v>
      </c>
      <c r="L174" s="2">
        <v>3823.93</v>
      </c>
      <c r="M174" s="2">
        <v>5310.85</v>
      </c>
      <c r="N174" s="2">
        <v>4500</v>
      </c>
      <c r="O174" s="2">
        <v>900</v>
      </c>
      <c r="P174" s="9"/>
      <c r="Q174" s="2">
        <f>SUM(OSRRefD21_4_0x)+IFERROR(SUM(OSRRefE21_4_0x),0)</f>
        <v>80035.86</v>
      </c>
    </row>
    <row r="175" spans="1:17" s="34" customFormat="1" collapsed="1" x14ac:dyDescent="0.25">
      <c r="A175" s="35"/>
      <c r="B175" s="11" t="str">
        <f>CONCATENATE("     ","Depreciation                                      ")</f>
        <v xml:space="preserve">     Depreciation                                      </v>
      </c>
      <c r="C175" s="11"/>
      <c r="D175" s="1">
        <f>SUM(OSRRefD21_5x_0)</f>
        <v>30627.300000000003</v>
      </c>
      <c r="E175" s="1">
        <f>SUM(OSRRefD21_5x_1)</f>
        <v>31369.77</v>
      </c>
      <c r="F175" s="1">
        <f>SUM(OSRRefD21_5x_2)</f>
        <v>31347.279999999999</v>
      </c>
      <c r="G175" s="1">
        <f>SUM(OSRRefD21_5x_3)</f>
        <v>31016.300000000003</v>
      </c>
      <c r="H175" s="1">
        <f>SUM(OSRRefD21_5x_4)</f>
        <v>31016.29</v>
      </c>
      <c r="I175" s="1">
        <f>SUM(OSRRefD21_5x_5)</f>
        <v>31016.29</v>
      </c>
      <c r="J175" s="1">
        <f>SUM(OSRRefD21_5x_6)</f>
        <v>31016.29</v>
      </c>
      <c r="K175" s="1">
        <f>SUM(OSRRefD21_5x_7)</f>
        <v>31016.29</v>
      </c>
      <c r="L175" s="1">
        <f>SUM(OSRRefD21_5x_8)</f>
        <v>31016.29</v>
      </c>
      <c r="M175" s="1">
        <f>SUM(OSRRefD21_5x_9)</f>
        <v>31016.29</v>
      </c>
      <c r="N175" s="1">
        <f>SUM(OSRRefE21_5x_0)</f>
        <v>30594</v>
      </c>
      <c r="O175" s="1">
        <f>SUM(OSRRefE21_5x_1)</f>
        <v>30177</v>
      </c>
      <c r="Q175" s="2">
        <f>SUM(OSRRefD20_5x)+IFERROR(SUM(OSRRefE20_5x),0)</f>
        <v>371229.39</v>
      </c>
    </row>
    <row r="176" spans="1:17" s="34" customFormat="1" hidden="1" outlineLevel="1" x14ac:dyDescent="0.25">
      <c r="A176" s="35"/>
      <c r="B176" s="10" t="str">
        <f>CONCATENATE("          ","6321", " - ","BUILDING DEPRECIATION")</f>
        <v xml:space="preserve">          6321 - BUILDING DEPRECIATION</v>
      </c>
      <c r="C176" s="11"/>
      <c r="D176" s="2">
        <v>16396.52</v>
      </c>
      <c r="E176" s="2">
        <v>16396.52</v>
      </c>
      <c r="F176" s="2">
        <v>16396.52</v>
      </c>
      <c r="G176" s="2">
        <v>16396.52</v>
      </c>
      <c r="H176" s="2">
        <v>16396.52</v>
      </c>
      <c r="I176" s="2">
        <v>16396.52</v>
      </c>
      <c r="J176" s="2">
        <v>16396.52</v>
      </c>
      <c r="K176" s="2">
        <v>16396.52</v>
      </c>
      <c r="L176" s="2">
        <v>16396.52</v>
      </c>
      <c r="M176" s="2">
        <v>16396.52</v>
      </c>
      <c r="N176" s="2"/>
      <c r="O176" s="2"/>
      <c r="P176" s="9"/>
      <c r="Q176" s="2">
        <f>SUM(OSRRefD21_5_0x)+IFERROR(SUM(OSRRefE21_5_0x),0)</f>
        <v>163965.19999999998</v>
      </c>
    </row>
    <row r="177" spans="1:17" s="34" customFormat="1" hidden="1" outlineLevel="1" x14ac:dyDescent="0.25">
      <c r="A177" s="35"/>
      <c r="B177" s="10" t="str">
        <f>CONCATENATE("          ","6322", " - ","EQUIPMENT DEPRECIATION EXPENSE")</f>
        <v xml:space="preserve">          6322 - EQUIPMENT DEPRECIATION EXPENSE</v>
      </c>
      <c r="C177" s="11"/>
      <c r="D177" s="2">
        <v>14230.78</v>
      </c>
      <c r="E177" s="2">
        <v>14973.25</v>
      </c>
      <c r="F177" s="2">
        <v>14950.76</v>
      </c>
      <c r="G177" s="2">
        <v>14619.78</v>
      </c>
      <c r="H177" s="2">
        <v>14619.77</v>
      </c>
      <c r="I177" s="2">
        <v>14619.77</v>
      </c>
      <c r="J177" s="2">
        <v>14619.77</v>
      </c>
      <c r="K177" s="2">
        <v>14619.77</v>
      </c>
      <c r="L177" s="2">
        <v>14619.77</v>
      </c>
      <c r="M177" s="2">
        <v>14619.77</v>
      </c>
      <c r="N177" s="2">
        <v>30594</v>
      </c>
      <c r="O177" s="2">
        <v>30177</v>
      </c>
      <c r="P177" s="9"/>
      <c r="Q177" s="2">
        <f>SUM(OSRRefD21_5_1x)+IFERROR(SUM(OSRRefE21_5_1x),0)</f>
        <v>207264.19</v>
      </c>
    </row>
    <row r="178" spans="1:17" s="34" customFormat="1" collapsed="1" x14ac:dyDescent="0.25">
      <c r="A178" s="35"/>
      <c r="B178" s="11" t="str">
        <f>CONCATENATE("     ","Discounts and Markdowns                           ")</f>
        <v xml:space="preserve">     Discounts and Markdowns                           </v>
      </c>
      <c r="C178" s="11"/>
      <c r="D178" s="1">
        <f>SUM(OSRRefD21_6x_0)</f>
        <v>0</v>
      </c>
      <c r="E178" s="1">
        <f>SUM(OSRRefD21_6x_1)</f>
        <v>0</v>
      </c>
      <c r="F178" s="1">
        <f>SUM(OSRRefD21_6x_2)</f>
        <v>830.95</v>
      </c>
      <c r="G178" s="1">
        <f>SUM(OSRRefD21_6x_3)</f>
        <v>-1249.8000000000002</v>
      </c>
      <c r="H178" s="1">
        <f>SUM(OSRRefD21_6x_4)</f>
        <v>418.85</v>
      </c>
      <c r="I178" s="1">
        <f>SUM(OSRRefD21_6x_5)</f>
        <v>0</v>
      </c>
      <c r="J178" s="1">
        <f>SUM(OSRRefD21_6x_6)</f>
        <v>-42.86</v>
      </c>
      <c r="K178" s="1">
        <f>SUM(OSRRefD21_6x_7)</f>
        <v>42.86</v>
      </c>
      <c r="L178" s="1">
        <f>SUM(OSRRefD21_6x_8)</f>
        <v>0</v>
      </c>
      <c r="M178" s="1">
        <f>SUM(OSRRefD21_6x_9)</f>
        <v>-15.43</v>
      </c>
      <c r="N178" s="1">
        <f>SUM(OSRRefE21_6x_0)</f>
        <v>2743</v>
      </c>
      <c r="O178" s="1">
        <f>SUM(OSRRefE21_6x_1)</f>
        <v>5614</v>
      </c>
      <c r="Q178" s="2">
        <f>SUM(OSRRefD20_6x)+IFERROR(SUM(OSRRefE20_6x),0)</f>
        <v>8341.57</v>
      </c>
    </row>
    <row r="179" spans="1:17" s="34" customFormat="1" hidden="1" outlineLevel="1" x14ac:dyDescent="0.25">
      <c r="A179" s="35"/>
      <c r="B179" s="10" t="str">
        <f>CONCATENATE("          ","6382", " - ","DISCOUNTS/MARK DOWNS")</f>
        <v xml:space="preserve">          6382 - DISCOUNTS/MARK DOWNS</v>
      </c>
      <c r="C179" s="11"/>
      <c r="D179" s="2">
        <v>0</v>
      </c>
      <c r="E179" s="2">
        <v>0</v>
      </c>
      <c r="F179" s="2">
        <v>830.95</v>
      </c>
      <c r="G179" s="2">
        <v>-830.95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2743</v>
      </c>
      <c r="O179" s="2">
        <v>5614</v>
      </c>
      <c r="P179" s="9"/>
      <c r="Q179" s="2">
        <f>SUM(OSRRefD21_6_0x)+IFERROR(SUM(OSRRefE21_6_0x),0)</f>
        <v>8357</v>
      </c>
    </row>
    <row r="180" spans="1:17" s="34" customFormat="1" hidden="1" outlineLevel="1" x14ac:dyDescent="0.25">
      <c r="A180" s="35"/>
      <c r="B180" s="10" t="str">
        <f>CONCATENATE("          ","9175", " - ","EARNED DISCOUNTS")</f>
        <v xml:space="preserve">          9175 - EARNED DISCOUNTS</v>
      </c>
      <c r="C180" s="11"/>
      <c r="D180" s="2"/>
      <c r="E180" s="2"/>
      <c r="F180" s="2"/>
      <c r="G180" s="2">
        <v>-418.85</v>
      </c>
      <c r="H180" s="2">
        <v>418.85</v>
      </c>
      <c r="I180" s="2"/>
      <c r="J180" s="2">
        <v>-42.86</v>
      </c>
      <c r="K180" s="2">
        <v>42.86</v>
      </c>
      <c r="L180" s="2">
        <v>0</v>
      </c>
      <c r="M180" s="2">
        <v>-15.43</v>
      </c>
      <c r="N180" s="2"/>
      <c r="O180" s="2"/>
      <c r="P180" s="9"/>
      <c r="Q180" s="2">
        <f>SUM(OSRRefD21_6_1x)+IFERROR(SUM(OSRRefE21_6_1x),0)</f>
        <v>-15.43</v>
      </c>
    </row>
    <row r="181" spans="1:17" s="34" customFormat="1" collapsed="1" x14ac:dyDescent="0.25">
      <c r="A181" s="35"/>
      <c r="B181" s="11" t="str">
        <f>CONCATENATE("     ","Donations                                         ")</f>
        <v xml:space="preserve">     Donations                                         </v>
      </c>
      <c r="C181" s="11"/>
      <c r="D181" s="1">
        <f>SUM(OSRRefD21_7x_0)</f>
        <v>0</v>
      </c>
      <c r="E181" s="1">
        <f>SUM(OSRRefD21_7x_1)</f>
        <v>0</v>
      </c>
      <c r="F181" s="1">
        <f>SUM(OSRRefD21_7x_2)</f>
        <v>0</v>
      </c>
      <c r="G181" s="1">
        <f>SUM(OSRRefD21_7x_3)</f>
        <v>0</v>
      </c>
      <c r="H181" s="1">
        <f>SUM(OSRRefD21_7x_4)</f>
        <v>0</v>
      </c>
      <c r="I181" s="1">
        <f>SUM(OSRRefD21_7x_5)</f>
        <v>0</v>
      </c>
      <c r="J181" s="1">
        <f>SUM(OSRRefD21_7x_6)</f>
        <v>0</v>
      </c>
      <c r="K181" s="1">
        <f>SUM(OSRRefD21_7x_7)</f>
        <v>0</v>
      </c>
      <c r="L181" s="1">
        <f>SUM(OSRRefD21_7x_8)</f>
        <v>0</v>
      </c>
      <c r="M181" s="1">
        <f>SUM(OSRRefD21_7x_9)</f>
        <v>360.9</v>
      </c>
      <c r="N181" s="1">
        <f>SUM(OSRRefE21_7x_0)</f>
        <v>0</v>
      </c>
      <c r="O181" s="1">
        <f>SUM(OSRRefE21_7x_1)</f>
        <v>0</v>
      </c>
      <c r="Q181" s="2">
        <f>SUM(OSRRefD20_7x)+IFERROR(SUM(OSRRefE20_7x),0)</f>
        <v>360.9</v>
      </c>
    </row>
    <row r="182" spans="1:17" s="34" customFormat="1" hidden="1" outlineLevel="1" x14ac:dyDescent="0.25">
      <c r="A182" s="35"/>
      <c r="B182" s="10" t="str">
        <f>CONCATENATE("          ","6399", " - ","DONATION-ON CAMPUS")</f>
        <v xml:space="preserve">          6399 - DONATION-ON CAMPUS</v>
      </c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>
        <v>360.9</v>
      </c>
      <c r="N182" s="2">
        <v>0</v>
      </c>
      <c r="O182" s="2">
        <v>0</v>
      </c>
      <c r="P182" s="9"/>
      <c r="Q182" s="2">
        <f>SUM(OSRRefD21_7_0x)+IFERROR(SUM(OSRRefE21_7_0x),0)</f>
        <v>360.9</v>
      </c>
    </row>
    <row r="183" spans="1:17" s="34" customFormat="1" collapsed="1" x14ac:dyDescent="0.25">
      <c r="A183" s="35"/>
      <c r="B183" s="11" t="str">
        <f>CONCATENATE("     ","Employees' Appreciation                           ")</f>
        <v xml:space="preserve">     Employees' Appreciation                           </v>
      </c>
      <c r="C183" s="11"/>
      <c r="D183" s="1">
        <f>SUM(OSRRefD21_8x_0)</f>
        <v>107.7</v>
      </c>
      <c r="E183" s="1">
        <f>SUM(OSRRefD21_8x_1)</f>
        <v>0</v>
      </c>
      <c r="F183" s="1">
        <f>SUM(OSRRefD21_8x_2)</f>
        <v>0</v>
      </c>
      <c r="G183" s="1">
        <f>SUM(OSRRefD21_8x_3)</f>
        <v>0</v>
      </c>
      <c r="H183" s="1">
        <f>SUM(OSRRefD21_8x_4)</f>
        <v>0</v>
      </c>
      <c r="I183" s="1">
        <f>SUM(OSRRefD21_8x_5)</f>
        <v>0</v>
      </c>
      <c r="J183" s="1">
        <f>SUM(OSRRefD21_8x_6)</f>
        <v>78.33</v>
      </c>
      <c r="K183" s="1">
        <f>SUM(OSRRefD21_8x_7)</f>
        <v>0</v>
      </c>
      <c r="L183" s="1">
        <f>SUM(OSRRefD21_8x_8)</f>
        <v>0</v>
      </c>
      <c r="M183" s="1">
        <f>SUM(OSRRefD21_8x_9)</f>
        <v>0</v>
      </c>
      <c r="N183" s="1">
        <f>SUM(OSRRefE21_8x_0)</f>
        <v>270</v>
      </c>
      <c r="O183" s="1">
        <f>SUM(OSRRefE21_8x_1)</f>
        <v>270</v>
      </c>
      <c r="Q183" s="2">
        <f>SUM(OSRRefD20_8x)+IFERROR(SUM(OSRRefE20_8x),0)</f>
        <v>726.03</v>
      </c>
    </row>
    <row r="184" spans="1:17" s="34" customFormat="1" hidden="1" outlineLevel="1" x14ac:dyDescent="0.25">
      <c r="A184" s="35"/>
      <c r="B184" s="10" t="str">
        <f>CONCATENATE("          ","6277", " - ","EMPLOYEE APPRECIATION")</f>
        <v xml:space="preserve">          6277 - EMPLOYEE APPRECIATION</v>
      </c>
      <c r="C184" s="11"/>
      <c r="D184" s="2">
        <v>107.7</v>
      </c>
      <c r="E184" s="2"/>
      <c r="F184" s="2"/>
      <c r="G184" s="2"/>
      <c r="H184" s="2"/>
      <c r="I184" s="2"/>
      <c r="J184" s="2">
        <v>78.33</v>
      </c>
      <c r="K184" s="2">
        <v>0</v>
      </c>
      <c r="L184" s="2"/>
      <c r="M184" s="2"/>
      <c r="N184" s="2">
        <v>270</v>
      </c>
      <c r="O184" s="2">
        <v>270</v>
      </c>
      <c r="P184" s="9"/>
      <c r="Q184" s="2">
        <f>SUM(OSRRefD21_8_0x)+IFERROR(SUM(OSRRefE21_8_0x),0)</f>
        <v>726.03</v>
      </c>
    </row>
    <row r="185" spans="1:17" s="34" customFormat="1" collapsed="1" x14ac:dyDescent="0.25">
      <c r="A185" s="35"/>
      <c r="B185" s="11" t="str">
        <f>CONCATENATE("     ","Equipment Rental                                  ")</f>
        <v xml:space="preserve">     Equipment Rental                                  </v>
      </c>
      <c r="C185" s="11"/>
      <c r="D185" s="1">
        <f>SUM(OSRRefD21_9x_0)</f>
        <v>1388.16</v>
      </c>
      <c r="E185" s="1">
        <f>SUM(OSRRefD21_9x_1)</f>
        <v>1388.16</v>
      </c>
      <c r="F185" s="1">
        <f>SUM(OSRRefD21_9x_2)</f>
        <v>1712.05</v>
      </c>
      <c r="G185" s="1">
        <f>SUM(OSRRefD21_9x_3)</f>
        <v>1479.42</v>
      </c>
      <c r="H185" s="1">
        <f>SUM(OSRRefD21_9x_4)</f>
        <v>1712.05</v>
      </c>
      <c r="I185" s="1">
        <f>SUM(OSRRefD21_9x_5)</f>
        <v>1296.9000000000001</v>
      </c>
      <c r="J185" s="1">
        <f>SUM(OSRRefD21_9x_6)</f>
        <v>1388.16</v>
      </c>
      <c r="K185" s="1">
        <f>SUM(OSRRefD21_9x_7)</f>
        <v>1784.21</v>
      </c>
      <c r="L185" s="1">
        <f>SUM(OSRRefD21_9x_8)</f>
        <v>1296.9000000000001</v>
      </c>
      <c r="M185" s="1">
        <f>SUM(OSRRefD21_9x_9)</f>
        <v>1388.16</v>
      </c>
      <c r="N185" s="1">
        <f>SUM(OSRRefE21_9x_0)</f>
        <v>2006</v>
      </c>
      <c r="O185" s="1">
        <f>SUM(OSRRefE21_9x_1)</f>
        <v>2006</v>
      </c>
      <c r="Q185" s="2">
        <f>SUM(OSRRefD20_9x)+IFERROR(SUM(OSRRefE20_9x),0)</f>
        <v>18846.169999999998</v>
      </c>
    </row>
    <row r="186" spans="1:17" s="34" customFormat="1" hidden="1" outlineLevel="1" x14ac:dyDescent="0.25">
      <c r="A186" s="35"/>
      <c r="B186" s="10" t="str">
        <f>CONCATENATE("          ","6351", " - ","EQUIPMENT RENTAL")</f>
        <v xml:space="preserve">          6351 - EQUIPMENT RENTAL</v>
      </c>
      <c r="C186" s="11"/>
      <c r="D186" s="2">
        <v>1388.16</v>
      </c>
      <c r="E186" s="2">
        <v>1388.16</v>
      </c>
      <c r="F186" s="2">
        <v>1712.05</v>
      </c>
      <c r="G186" s="2">
        <v>1479.42</v>
      </c>
      <c r="H186" s="2">
        <v>1712.05</v>
      </c>
      <c r="I186" s="2">
        <v>1296.9000000000001</v>
      </c>
      <c r="J186" s="2">
        <v>1388.16</v>
      </c>
      <c r="K186" s="2">
        <v>1784.21</v>
      </c>
      <c r="L186" s="2">
        <v>1296.9000000000001</v>
      </c>
      <c r="M186" s="2">
        <v>1388.16</v>
      </c>
      <c r="N186" s="2">
        <v>2006</v>
      </c>
      <c r="O186" s="2">
        <v>2006</v>
      </c>
      <c r="P186" s="9"/>
      <c r="Q186" s="2">
        <f>SUM(OSRRefD21_9_0x)+IFERROR(SUM(OSRRefE21_9_0x),0)</f>
        <v>18846.169999999998</v>
      </c>
    </row>
    <row r="187" spans="1:17" s="34" customFormat="1" collapsed="1" x14ac:dyDescent="0.25">
      <c r="A187" s="35"/>
      <c r="B187" s="11" t="str">
        <f>CONCATENATE("     ","Freight out/Postage                               ")</f>
        <v xml:space="preserve">     Freight out/Postage                               </v>
      </c>
      <c r="C187" s="11"/>
      <c r="D187" s="1">
        <f>SUM(OSRRefD21_10x_0)</f>
        <v>8939.26</v>
      </c>
      <c r="E187" s="1">
        <f>SUM(OSRRefD21_10x_1)</f>
        <v>-83561.38</v>
      </c>
      <c r="F187" s="1">
        <f>SUM(OSRRefD21_10x_2)</f>
        <v>-5852.130000000001</v>
      </c>
      <c r="G187" s="1">
        <f>SUM(OSRRefD21_10x_3)</f>
        <v>49181.369999999995</v>
      </c>
      <c r="H187" s="1">
        <f>SUM(OSRRefD21_10x_4)</f>
        <v>12765.690000000002</v>
      </c>
      <c r="I187" s="1">
        <f>SUM(OSRRefD21_10x_5)</f>
        <v>4349.5</v>
      </c>
      <c r="J187" s="1">
        <f>SUM(OSRRefD21_10x_6)</f>
        <v>-21647.59</v>
      </c>
      <c r="K187" s="1">
        <f>SUM(OSRRefD21_10x_7)</f>
        <v>4253.7100000000028</v>
      </c>
      <c r="L187" s="1">
        <f>SUM(OSRRefD21_10x_8)</f>
        <v>-1320.7900000000009</v>
      </c>
      <c r="M187" s="1">
        <f>SUM(OSRRefD21_10x_9)</f>
        <v>-12487.910000000003</v>
      </c>
      <c r="N187" s="1">
        <f>SUM(OSRRefE21_10x_0)</f>
        <v>-1615</v>
      </c>
      <c r="O187" s="1">
        <f>SUM(OSRRefE21_10x_1)</f>
        <v>135</v>
      </c>
      <c r="Q187" s="2">
        <f>SUM(OSRRefD20_10x)+IFERROR(SUM(OSRRefE20_10x),0)</f>
        <v>-46860.270000000019</v>
      </c>
    </row>
    <row r="188" spans="1:17" s="34" customFormat="1" hidden="1" outlineLevel="1" x14ac:dyDescent="0.25">
      <c r="A188" s="35"/>
      <c r="B188" s="10" t="str">
        <f>CONCATENATE("          ","6305", " - ","FREIGHT OUT")</f>
        <v xml:space="preserve">          6305 - FREIGHT OUT</v>
      </c>
      <c r="C188" s="11"/>
      <c r="D188" s="2">
        <v>12094.7</v>
      </c>
      <c r="E188" s="2">
        <v>8415.86</v>
      </c>
      <c r="F188" s="2">
        <v>5412.16</v>
      </c>
      <c r="G188" s="2">
        <v>60867.89</v>
      </c>
      <c r="H188" s="2">
        <v>17085.400000000001</v>
      </c>
      <c r="I188" s="2">
        <v>13756.07</v>
      </c>
      <c r="J188" s="2">
        <v>18838.63</v>
      </c>
      <c r="K188" s="2">
        <v>26266.240000000002</v>
      </c>
      <c r="L188" s="2">
        <v>18098.53</v>
      </c>
      <c r="M188" s="2">
        <v>22694.03</v>
      </c>
      <c r="N188" s="2">
        <v>3350</v>
      </c>
      <c r="O188" s="2">
        <v>2100</v>
      </c>
      <c r="P188" s="9"/>
      <c r="Q188" s="2">
        <f>SUM(OSRRefD21_10_0x)+IFERROR(SUM(OSRRefE21_10_0x),0)</f>
        <v>208979.51</v>
      </c>
    </row>
    <row r="189" spans="1:17" s="34" customFormat="1" hidden="1" outlineLevel="1" x14ac:dyDescent="0.25">
      <c r="A189" s="35"/>
      <c r="B189" s="10" t="str">
        <f>CONCATENATE("          ","6307", " - ","POSTAGE")</f>
        <v xml:space="preserve">          6307 - POSTAGE</v>
      </c>
      <c r="C189" s="11"/>
      <c r="D189" s="2">
        <v>-3155.44</v>
      </c>
      <c r="E189" s="2">
        <v>-91977.24</v>
      </c>
      <c r="F189" s="2">
        <v>-11264.29</v>
      </c>
      <c r="G189" s="2">
        <v>-11686.52</v>
      </c>
      <c r="H189" s="2">
        <v>-4319.71</v>
      </c>
      <c r="I189" s="2">
        <v>-9406.57</v>
      </c>
      <c r="J189" s="2">
        <v>-40486.22</v>
      </c>
      <c r="K189" s="2">
        <v>-22012.53</v>
      </c>
      <c r="L189" s="2">
        <v>-19419.32</v>
      </c>
      <c r="M189" s="2">
        <v>-35181.94</v>
      </c>
      <c r="N189" s="2">
        <v>-4965</v>
      </c>
      <c r="O189" s="2">
        <v>-1965</v>
      </c>
      <c r="P189" s="9"/>
      <c r="Q189" s="2">
        <f>SUM(OSRRefD21_10_1x)+IFERROR(SUM(OSRRefE21_10_1x),0)</f>
        <v>-255839.78000000003</v>
      </c>
    </row>
    <row r="190" spans="1:17" s="34" customFormat="1" collapsed="1" x14ac:dyDescent="0.25">
      <c r="A190" s="35"/>
      <c r="B190" s="11" t="str">
        <f>CONCATENATE("     ","General                                           ")</f>
        <v xml:space="preserve">     General                                           </v>
      </c>
      <c r="C190" s="11"/>
      <c r="D190" s="1">
        <f>SUM(OSRRefD21_11x_0)</f>
        <v>-3350.24</v>
      </c>
      <c r="E190" s="1">
        <f>SUM(OSRRefD21_11x_1)</f>
        <v>113.26</v>
      </c>
      <c r="F190" s="1">
        <f>SUM(OSRRefD21_11x_2)</f>
        <v>0</v>
      </c>
      <c r="G190" s="1">
        <f>SUM(OSRRefD21_11x_3)</f>
        <v>-40</v>
      </c>
      <c r="H190" s="1">
        <f>SUM(OSRRefD21_11x_4)</f>
        <v>3792.73</v>
      </c>
      <c r="I190" s="1">
        <f>SUM(OSRRefD21_11x_5)</f>
        <v>1744.47</v>
      </c>
      <c r="J190" s="1">
        <f>SUM(OSRRefD21_11x_6)</f>
        <v>223.63</v>
      </c>
      <c r="K190" s="1">
        <f>SUM(OSRRefD21_11x_7)</f>
        <v>-4.21</v>
      </c>
      <c r="L190" s="1">
        <f>SUM(OSRRefD21_11x_8)</f>
        <v>0</v>
      </c>
      <c r="M190" s="1">
        <f>SUM(OSRRefD21_11x_9)</f>
        <v>93.84</v>
      </c>
      <c r="N190" s="1">
        <f>SUM(OSRRefE21_11x_0)</f>
        <v>1530</v>
      </c>
      <c r="O190" s="1">
        <f>SUM(OSRRefE21_11x_1)</f>
        <v>280</v>
      </c>
      <c r="Q190" s="2">
        <f>SUM(OSRRefD20_11x)+IFERROR(SUM(OSRRefE20_11x),0)</f>
        <v>4383.4800000000005</v>
      </c>
    </row>
    <row r="191" spans="1:17" s="34" customFormat="1" hidden="1" outlineLevel="1" x14ac:dyDescent="0.25">
      <c r="A191" s="35"/>
      <c r="B191" s="10" t="str">
        <f>CONCATENATE("          ","6269", " - ","ENTERTAINMENT")</f>
        <v xml:space="preserve">          6269 - ENTERTAINMENT</v>
      </c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>
        <v>1250</v>
      </c>
      <c r="O191" s="2">
        <v>0</v>
      </c>
      <c r="P191" s="9"/>
      <c r="Q191" s="2">
        <f>SUM(OSRRefD21_11_0x)+IFERROR(SUM(OSRRefE21_11_0x),0)</f>
        <v>1250</v>
      </c>
    </row>
    <row r="192" spans="1:17" s="34" customFormat="1" hidden="1" outlineLevel="1" x14ac:dyDescent="0.25">
      <c r="A192" s="35"/>
      <c r="B192" s="10" t="str">
        <f>CONCATENATE("          ","6279", " - ","GENERAL EXPENSE")</f>
        <v xml:space="preserve">          6279 - GENERAL EXPENSE</v>
      </c>
      <c r="C192" s="11"/>
      <c r="D192" s="2">
        <v>-3350.24</v>
      </c>
      <c r="E192" s="2">
        <v>113.26</v>
      </c>
      <c r="F192" s="2"/>
      <c r="G192" s="2">
        <v>-40</v>
      </c>
      <c r="H192" s="2">
        <v>3792.73</v>
      </c>
      <c r="I192" s="2">
        <v>1744.47</v>
      </c>
      <c r="J192" s="2">
        <v>223.63</v>
      </c>
      <c r="K192" s="2">
        <v>-4.21</v>
      </c>
      <c r="L192" s="2">
        <v>0</v>
      </c>
      <c r="M192" s="2">
        <v>93.84</v>
      </c>
      <c r="N192" s="2">
        <v>280</v>
      </c>
      <c r="O192" s="2">
        <v>280</v>
      </c>
      <c r="P192" s="9"/>
      <c r="Q192" s="2">
        <f>SUM(OSRRefD21_11_1x)+IFERROR(SUM(OSRRefE21_11_1x),0)</f>
        <v>3133.4800000000005</v>
      </c>
    </row>
    <row r="193" spans="1:17" s="34" customFormat="1" collapsed="1" x14ac:dyDescent="0.25">
      <c r="A193" s="35"/>
      <c r="B193" s="11" t="str">
        <f>CONCATENATE("     ","Insurance                                         ")</f>
        <v xml:space="preserve">     Insurance                                         </v>
      </c>
      <c r="C193" s="11"/>
      <c r="D193" s="1">
        <f>SUM(OSRRefD21_12x_0)</f>
        <v>4044.74</v>
      </c>
      <c r="E193" s="1">
        <f>SUM(OSRRefD21_12x_1)</f>
        <v>4044.74</v>
      </c>
      <c r="F193" s="1">
        <f>SUM(OSRRefD21_12x_2)</f>
        <v>4044.74</v>
      </c>
      <c r="G193" s="1">
        <f>SUM(OSRRefD21_12x_3)</f>
        <v>4044.74</v>
      </c>
      <c r="H193" s="1">
        <f>SUM(OSRRefD21_12x_4)</f>
        <v>4044.74</v>
      </c>
      <c r="I193" s="1">
        <f>SUM(OSRRefD21_12x_5)</f>
        <v>4044.74</v>
      </c>
      <c r="J193" s="1">
        <f>SUM(OSRRefD21_12x_6)</f>
        <v>4044.74</v>
      </c>
      <c r="K193" s="1">
        <f>SUM(OSRRefD21_12x_7)</f>
        <v>4044.74</v>
      </c>
      <c r="L193" s="1">
        <f>SUM(OSRRefD21_12x_8)</f>
        <v>4044.74</v>
      </c>
      <c r="M193" s="1">
        <f>SUM(OSRRefD21_12x_9)</f>
        <v>4044.74</v>
      </c>
      <c r="N193" s="1">
        <f>SUM(OSRRefE21_12x_0)</f>
        <v>4446</v>
      </c>
      <c r="O193" s="1">
        <f>SUM(OSRRefE21_12x_1)</f>
        <v>4446</v>
      </c>
      <c r="Q193" s="2">
        <f>SUM(OSRRefD20_12x)+IFERROR(SUM(OSRRefE20_12x),0)</f>
        <v>49339.399999999987</v>
      </c>
    </row>
    <row r="194" spans="1:17" s="34" customFormat="1" hidden="1" outlineLevel="1" x14ac:dyDescent="0.25">
      <c r="A194" s="35"/>
      <c r="B194" s="10" t="str">
        <f>CONCATENATE("          ","6314", " - ","LIABILITY INSURANCE")</f>
        <v xml:space="preserve">          6314 - LIABILITY INSURANCE</v>
      </c>
      <c r="C194" s="11"/>
      <c r="D194" s="2">
        <v>4044.74</v>
      </c>
      <c r="E194" s="2">
        <v>4044.74</v>
      </c>
      <c r="F194" s="2">
        <v>4044.74</v>
      </c>
      <c r="G194" s="2">
        <v>4044.74</v>
      </c>
      <c r="H194" s="2">
        <v>4044.74</v>
      </c>
      <c r="I194" s="2">
        <v>4044.74</v>
      </c>
      <c r="J194" s="2">
        <v>4044.74</v>
      </c>
      <c r="K194" s="2">
        <v>4044.74</v>
      </c>
      <c r="L194" s="2">
        <v>4044.74</v>
      </c>
      <c r="M194" s="2">
        <v>4044.74</v>
      </c>
      <c r="N194" s="2">
        <v>4446</v>
      </c>
      <c r="O194" s="2">
        <v>4446</v>
      </c>
      <c r="P194" s="9"/>
      <c r="Q194" s="2">
        <f>SUM(OSRRefD21_12_0x)+IFERROR(SUM(OSRRefE21_12_0x),0)</f>
        <v>49339.399999999987</v>
      </c>
    </row>
    <row r="195" spans="1:17" s="34" customFormat="1" collapsed="1" x14ac:dyDescent="0.25">
      <c r="A195" s="35"/>
      <c r="B195" s="11" t="str">
        <f>CONCATENATE("     ","Inventory Adjustment                              ")</f>
        <v xml:space="preserve">     Inventory Adjustment                              </v>
      </c>
      <c r="C195" s="11"/>
      <c r="D195" s="1">
        <f>SUM(OSRRefD21_13x_0)</f>
        <v>3350</v>
      </c>
      <c r="E195" s="1">
        <f>SUM(OSRRefD21_13x_1)</f>
        <v>3350</v>
      </c>
      <c r="F195" s="1">
        <f>SUM(OSRRefD21_13x_2)</f>
        <v>3350</v>
      </c>
      <c r="G195" s="1">
        <f>SUM(OSRRefD21_13x_3)</f>
        <v>3350</v>
      </c>
      <c r="H195" s="1">
        <f>SUM(OSRRefD21_13x_4)</f>
        <v>3350</v>
      </c>
      <c r="I195" s="1">
        <f>SUM(OSRRefD21_13x_5)</f>
        <v>8350</v>
      </c>
      <c r="J195" s="1">
        <f>SUM(OSRRefD21_13x_6)</f>
        <v>3350</v>
      </c>
      <c r="K195" s="1">
        <f>SUM(OSRRefD21_13x_7)</f>
        <v>3350</v>
      </c>
      <c r="L195" s="1">
        <f>SUM(OSRRefD21_13x_8)</f>
        <v>3350</v>
      </c>
      <c r="M195" s="1">
        <f>SUM(OSRRefD21_13x_9)</f>
        <v>3350</v>
      </c>
      <c r="N195" s="1">
        <f>SUM(OSRRefE21_13x_0)</f>
        <v>3350</v>
      </c>
      <c r="O195" s="1">
        <f>SUM(OSRRefE21_13x_1)</f>
        <v>17350</v>
      </c>
      <c r="Q195" s="2">
        <f>SUM(OSRRefD20_13x)+IFERROR(SUM(OSRRefE20_13x),0)</f>
        <v>59200</v>
      </c>
    </row>
    <row r="196" spans="1:17" s="34" customFormat="1" hidden="1" outlineLevel="1" x14ac:dyDescent="0.25">
      <c r="A196" s="35"/>
      <c r="B196" s="10" t="str">
        <f>CONCATENATE("          ","6408", " - ","INVENTORY ADJUSTMENT")</f>
        <v xml:space="preserve">          6408 - INVENTORY ADJUSTMENT</v>
      </c>
      <c r="C196" s="11"/>
      <c r="D196" s="2">
        <v>3350</v>
      </c>
      <c r="E196" s="2">
        <v>3350</v>
      </c>
      <c r="F196" s="2">
        <v>3350</v>
      </c>
      <c r="G196" s="2">
        <v>3350</v>
      </c>
      <c r="H196" s="2">
        <v>3350</v>
      </c>
      <c r="I196" s="2">
        <v>8350</v>
      </c>
      <c r="J196" s="2">
        <v>3350</v>
      </c>
      <c r="K196" s="2">
        <v>3350</v>
      </c>
      <c r="L196" s="2">
        <v>3350</v>
      </c>
      <c r="M196" s="2">
        <v>3350</v>
      </c>
      <c r="N196" s="2">
        <v>3350</v>
      </c>
      <c r="O196" s="2">
        <v>17350</v>
      </c>
      <c r="P196" s="9"/>
      <c r="Q196" s="2">
        <f>SUM(OSRRefD21_13_0x)+IFERROR(SUM(OSRRefE21_13_0x),0)</f>
        <v>59200</v>
      </c>
    </row>
    <row r="197" spans="1:17" s="34" customFormat="1" hidden="1" outlineLevel="1" x14ac:dyDescent="0.25">
      <c r="A197" s="35"/>
      <c r="B197" s="10" t="str">
        <f>CONCATENATE("          ","7741", " - ","INV. SHRINKAGE-LOGO GIFTS")</f>
        <v xml:space="preserve">          7741 - INV. SHRINKAGE-LOGO GIFTS</v>
      </c>
      <c r="C197" s="11"/>
      <c r="D197" s="2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9"/>
      <c r="Q197" s="2">
        <f>SUM(OSRRefD21_13_1x)+IFERROR(SUM(OSRRefE21_13_1x),0)</f>
        <v>0</v>
      </c>
    </row>
    <row r="198" spans="1:17" s="34" customFormat="1" collapsed="1" x14ac:dyDescent="0.25">
      <c r="A198" s="35"/>
      <c r="B198" s="11" t="str">
        <f>CONCATENATE("     ","Professional Services                             ")</f>
        <v xml:space="preserve">     Professional Services                             </v>
      </c>
      <c r="C198" s="11"/>
      <c r="D198" s="1">
        <f>SUM(OSRRefD21_14x_0)</f>
        <v>0</v>
      </c>
      <c r="E198" s="1">
        <f>SUM(OSRRefD21_14x_1)</f>
        <v>0</v>
      </c>
      <c r="F198" s="1">
        <f>SUM(OSRRefD21_14x_2)</f>
        <v>0</v>
      </c>
      <c r="G198" s="1">
        <f>SUM(OSRRefD21_14x_3)</f>
        <v>0</v>
      </c>
      <c r="H198" s="1">
        <f>SUM(OSRRefD21_14x_4)</f>
        <v>0</v>
      </c>
      <c r="I198" s="1">
        <f>SUM(OSRRefD21_14x_5)</f>
        <v>0</v>
      </c>
      <c r="J198" s="1">
        <f>SUM(OSRRefD21_14x_6)</f>
        <v>0</v>
      </c>
      <c r="K198" s="1">
        <f>SUM(OSRRefD21_14x_7)</f>
        <v>0</v>
      </c>
      <c r="L198" s="1">
        <f>SUM(OSRRefD21_14x_8)</f>
        <v>0</v>
      </c>
      <c r="M198" s="1">
        <f>SUM(OSRRefD21_14x_9)</f>
        <v>0</v>
      </c>
      <c r="N198" s="1">
        <f>SUM(OSRRefE21_14x_0)</f>
        <v>0</v>
      </c>
      <c r="O198" s="1">
        <f>SUM(OSRRefE21_14x_1)</f>
        <v>0</v>
      </c>
      <c r="Q198" s="2">
        <f>SUM(OSRRefD20_14x)+IFERROR(SUM(OSRRefE20_14x),0)</f>
        <v>0</v>
      </c>
    </row>
    <row r="199" spans="1:17" s="34" customFormat="1" hidden="1" outlineLevel="1" x14ac:dyDescent="0.25">
      <c r="A199" s="35"/>
      <c r="B199" s="10" t="str">
        <f>CONCATENATE("          ","6336", " - ","PROFESSIONAL SERVICES")</f>
        <v xml:space="preserve">          6336 - PROFESSIONAL SERVICES</v>
      </c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>
        <v>0</v>
      </c>
      <c r="O199" s="2">
        <v>0</v>
      </c>
      <c r="P199" s="9"/>
      <c r="Q199" s="2">
        <f>SUM(OSRRefD21_14_0x)+IFERROR(SUM(OSRRefE21_14_0x),0)</f>
        <v>0</v>
      </c>
    </row>
    <row r="200" spans="1:17" s="34" customFormat="1" collapsed="1" x14ac:dyDescent="0.25">
      <c r="A200" s="35"/>
      <c r="B200" s="11" t="str">
        <f>CONCATENATE("     ","Rent                                              ")</f>
        <v xml:space="preserve">     Rent                                              </v>
      </c>
      <c r="C200" s="11"/>
      <c r="D200" s="1">
        <f>SUM(OSRRefD21_15x_0)</f>
        <v>6100</v>
      </c>
      <c r="E200" s="1">
        <f>SUM(OSRRefD21_15x_1)</f>
        <v>6100</v>
      </c>
      <c r="F200" s="1">
        <f>SUM(OSRRefD21_15x_2)</f>
        <v>6100</v>
      </c>
      <c r="G200" s="1">
        <f>SUM(OSRRefD21_15x_3)</f>
        <v>6100</v>
      </c>
      <c r="H200" s="1">
        <f>SUM(OSRRefD21_15x_4)</f>
        <v>6100</v>
      </c>
      <c r="I200" s="1">
        <f>SUM(OSRRefD21_15x_5)</f>
        <v>6100</v>
      </c>
      <c r="J200" s="1">
        <f>SUM(OSRRefD21_15x_6)</f>
        <v>6100</v>
      </c>
      <c r="K200" s="1">
        <f>SUM(OSRRefD21_15x_7)</f>
        <v>6100</v>
      </c>
      <c r="L200" s="1">
        <f>SUM(OSRRefD21_15x_8)</f>
        <v>6100</v>
      </c>
      <c r="M200" s="1">
        <f>SUM(OSRRefD21_15x_9)</f>
        <v>6100</v>
      </c>
      <c r="N200" s="1">
        <f>SUM(OSRRefE21_15x_0)</f>
        <v>6100</v>
      </c>
      <c r="O200" s="1">
        <f>SUM(OSRRefE21_15x_1)</f>
        <v>6100</v>
      </c>
      <c r="Q200" s="2">
        <f>SUM(OSRRefD20_15x)+IFERROR(SUM(OSRRefE20_15x),0)</f>
        <v>73200</v>
      </c>
    </row>
    <row r="201" spans="1:17" s="34" customFormat="1" hidden="1" outlineLevel="1" x14ac:dyDescent="0.25">
      <c r="A201" s="35"/>
      <c r="B201" s="10" t="str">
        <f>CONCATENATE("          ","6273", " - ","RENT")</f>
        <v xml:space="preserve">          6273 - RENT</v>
      </c>
      <c r="C201" s="11"/>
      <c r="D201" s="2">
        <v>6100</v>
      </c>
      <c r="E201" s="2">
        <v>6100</v>
      </c>
      <c r="F201" s="2">
        <v>6100</v>
      </c>
      <c r="G201" s="2">
        <v>6100</v>
      </c>
      <c r="H201" s="2">
        <v>6100</v>
      </c>
      <c r="I201" s="2">
        <v>6100</v>
      </c>
      <c r="J201" s="2">
        <v>6100</v>
      </c>
      <c r="K201" s="2">
        <v>6100</v>
      </c>
      <c r="L201" s="2">
        <v>6100</v>
      </c>
      <c r="M201" s="2">
        <v>6100</v>
      </c>
      <c r="N201" s="2">
        <v>6100</v>
      </c>
      <c r="O201" s="2">
        <v>6100</v>
      </c>
      <c r="P201" s="9"/>
      <c r="Q201" s="2">
        <f>SUM(OSRRefD21_15_0x)+IFERROR(SUM(OSRRefE21_15_0x),0)</f>
        <v>73200</v>
      </c>
    </row>
    <row r="202" spans="1:17" s="34" customFormat="1" collapsed="1" x14ac:dyDescent="0.25">
      <c r="A202" s="35"/>
      <c r="B202" s="11" t="str">
        <f>CONCATENATE("     ","Repair and Maintenance                            ")</f>
        <v xml:space="preserve">     Repair and Maintenance                            </v>
      </c>
      <c r="C202" s="11"/>
      <c r="D202" s="1">
        <f>SUM(OSRRefD21_16x_0)</f>
        <v>66347.77</v>
      </c>
      <c r="E202" s="1">
        <f>SUM(OSRRefD21_16x_1)</f>
        <v>6705.0199999999995</v>
      </c>
      <c r="F202" s="1">
        <f>SUM(OSRRefD21_16x_2)</f>
        <v>13339.48</v>
      </c>
      <c r="G202" s="1">
        <f>SUM(OSRRefD21_16x_3)</f>
        <v>11552.1</v>
      </c>
      <c r="H202" s="1">
        <f>SUM(OSRRefD21_16x_4)</f>
        <v>3234.7799999999997</v>
      </c>
      <c r="I202" s="1">
        <f>SUM(OSRRefD21_16x_5)</f>
        <v>7951.17</v>
      </c>
      <c r="J202" s="1">
        <f>SUM(OSRRefD21_16x_6)</f>
        <v>3697</v>
      </c>
      <c r="K202" s="1">
        <f>SUM(OSRRefD21_16x_7)</f>
        <v>16129.08</v>
      </c>
      <c r="L202" s="1">
        <f>SUM(OSRRefD21_16x_8)</f>
        <v>3023.46</v>
      </c>
      <c r="M202" s="1">
        <f>SUM(OSRRefD21_16x_9)</f>
        <v>2485.83</v>
      </c>
      <c r="N202" s="1">
        <f>SUM(OSRRefE21_16x_0)</f>
        <v>20310</v>
      </c>
      <c r="O202" s="1">
        <f>SUM(OSRRefE21_16x_1)</f>
        <v>9210</v>
      </c>
      <c r="Q202" s="2">
        <f>SUM(OSRRefD20_16x)+IFERROR(SUM(OSRRefE20_16x),0)</f>
        <v>163985.69</v>
      </c>
    </row>
    <row r="203" spans="1:17" s="34" customFormat="1" hidden="1" outlineLevel="1" x14ac:dyDescent="0.25">
      <c r="A203" s="35"/>
      <c r="B203" s="10" t="str">
        <f>CONCATENATE("          ","6371", " - ","COMPUTER SOFTWARE MAINTENANCE")</f>
        <v xml:space="preserve">          6371 - COMPUTER SOFTWARE MAINTENANCE</v>
      </c>
      <c r="C203" s="11"/>
      <c r="D203" s="2">
        <v>58428.78</v>
      </c>
      <c r="E203" s="2"/>
      <c r="F203" s="2"/>
      <c r="G203" s="2">
        <v>7.69</v>
      </c>
      <c r="H203" s="2"/>
      <c r="I203" s="2"/>
      <c r="J203" s="2"/>
      <c r="K203" s="2">
        <v>1331.25</v>
      </c>
      <c r="L203" s="2">
        <v>1550</v>
      </c>
      <c r="M203" s="2"/>
      <c r="N203" s="2">
        <v>12000</v>
      </c>
      <c r="O203" s="2"/>
      <c r="P203" s="9"/>
      <c r="Q203" s="2">
        <f>SUM(OSRRefD21_16_0x)+IFERROR(SUM(OSRRefE21_16_0x),0)</f>
        <v>73317.72</v>
      </c>
    </row>
    <row r="204" spans="1:17" s="34" customFormat="1" hidden="1" outlineLevel="1" x14ac:dyDescent="0.25">
      <c r="A204" s="35"/>
      <c r="B204" s="10" t="str">
        <f>CONCATENATE("          ","6372", " - ","COMPUTER HARDWARE MAINTENANCE")</f>
        <v xml:space="preserve">          6372 - COMPUTER HARDWARE MAINTENANCE</v>
      </c>
      <c r="C204" s="11"/>
      <c r="D204" s="2"/>
      <c r="E204" s="2">
        <v>0.98</v>
      </c>
      <c r="F204" s="2">
        <v>-9.09</v>
      </c>
      <c r="G204" s="2">
        <v>8.11</v>
      </c>
      <c r="H204" s="2"/>
      <c r="I204" s="2"/>
      <c r="J204" s="2"/>
      <c r="K204" s="2">
        <v>-1.1499999999999999</v>
      </c>
      <c r="L204" s="2"/>
      <c r="M204" s="2"/>
      <c r="N204" s="2"/>
      <c r="O204" s="2"/>
      <c r="P204" s="9"/>
      <c r="Q204" s="2">
        <f>SUM(OSRRefD21_16_1x)+IFERROR(SUM(OSRRefE21_16_1x),0)</f>
        <v>-1.1499999999999999</v>
      </c>
    </row>
    <row r="205" spans="1:17" s="34" customFormat="1" hidden="1" outlineLevel="1" x14ac:dyDescent="0.25">
      <c r="A205" s="35"/>
      <c r="B205" s="10" t="str">
        <f>CONCATENATE("          ","6373", " - ","MAINTENANCE CONTRACTS")</f>
        <v xml:space="preserve">          6373 - MAINTENANCE CONTRACTS</v>
      </c>
      <c r="C205" s="11"/>
      <c r="D205" s="2">
        <v>6416.01</v>
      </c>
      <c r="E205" s="2">
        <v>6370.22</v>
      </c>
      <c r="F205" s="2">
        <v>12402.82</v>
      </c>
      <c r="G205" s="2">
        <v>5396.67</v>
      </c>
      <c r="H205" s="2">
        <v>440.29</v>
      </c>
      <c r="I205" s="2">
        <v>7906.17</v>
      </c>
      <c r="J205" s="2">
        <v>1122</v>
      </c>
      <c r="K205" s="2">
        <v>3372.5</v>
      </c>
      <c r="L205" s="2">
        <v>1262.9000000000001</v>
      </c>
      <c r="M205" s="2">
        <v>1429</v>
      </c>
      <c r="N205" s="2">
        <v>2540</v>
      </c>
      <c r="O205" s="2">
        <v>3540</v>
      </c>
      <c r="P205" s="9"/>
      <c r="Q205" s="2">
        <f>SUM(OSRRefD21_16_2x)+IFERROR(SUM(OSRRefE21_16_2x),0)</f>
        <v>52198.58</v>
      </c>
    </row>
    <row r="206" spans="1:17" s="34" customFormat="1" hidden="1" outlineLevel="1" x14ac:dyDescent="0.25">
      <c r="A206" s="35"/>
      <c r="B206" s="10" t="str">
        <f>CONCATENATE("          ","6375", " - ","OUTSIDE REPAIRS &amp; MAINTENANCE")</f>
        <v xml:space="preserve">          6375 - OUTSIDE REPAIRS &amp; MAINTENANCE</v>
      </c>
      <c r="C206" s="11"/>
      <c r="D206" s="2">
        <v>1502.98</v>
      </c>
      <c r="E206" s="2">
        <v>333.82</v>
      </c>
      <c r="F206" s="2">
        <v>945.75</v>
      </c>
      <c r="G206" s="2">
        <v>6139.63</v>
      </c>
      <c r="H206" s="2">
        <v>2794.49</v>
      </c>
      <c r="I206" s="2">
        <v>45</v>
      </c>
      <c r="J206" s="2">
        <v>2575</v>
      </c>
      <c r="K206" s="2">
        <v>11426.48</v>
      </c>
      <c r="L206" s="2">
        <v>210.56</v>
      </c>
      <c r="M206" s="2">
        <v>1056.83</v>
      </c>
      <c r="N206" s="2">
        <v>5770</v>
      </c>
      <c r="O206" s="2">
        <v>5670</v>
      </c>
      <c r="P206" s="9"/>
      <c r="Q206" s="2">
        <f>SUM(OSRRefD21_16_3x)+IFERROR(SUM(OSRRefE21_16_3x),0)</f>
        <v>38470.54</v>
      </c>
    </row>
    <row r="207" spans="1:17" s="34" customFormat="1" collapsed="1" x14ac:dyDescent="0.25">
      <c r="A207" s="35"/>
      <c r="B207" s="11" t="str">
        <f>CONCATENATE("     ","Royalty &amp; Commissions                             ")</f>
        <v xml:space="preserve">     Royalty &amp; Commissions                             </v>
      </c>
      <c r="C207" s="11"/>
      <c r="D207" s="1">
        <f>SUM(OSRRefD21_17x_0)</f>
        <v>10989.75</v>
      </c>
      <c r="E207" s="1">
        <f>SUM(OSRRefD21_17x_1)</f>
        <v>2254.65</v>
      </c>
      <c r="F207" s="1">
        <f>SUM(OSRRefD21_17x_2)</f>
        <v>62.6</v>
      </c>
      <c r="G207" s="1">
        <f>SUM(OSRRefD21_17x_3)</f>
        <v>10810</v>
      </c>
      <c r="H207" s="1">
        <f>SUM(OSRRefD21_17x_4)</f>
        <v>4453.09</v>
      </c>
      <c r="I207" s="1">
        <f>SUM(OSRRefD21_17x_5)</f>
        <v>5.97</v>
      </c>
      <c r="J207" s="1">
        <f>SUM(OSRRefD21_17x_6)</f>
        <v>7789.59</v>
      </c>
      <c r="K207" s="1">
        <f>SUM(OSRRefD21_17x_7)</f>
        <v>468.34</v>
      </c>
      <c r="L207" s="1">
        <f>SUM(OSRRefD21_17x_8)</f>
        <v>27.21</v>
      </c>
      <c r="M207" s="1">
        <f>SUM(OSRRefD21_17x_9)</f>
        <v>11531.75</v>
      </c>
      <c r="N207" s="1">
        <f>SUM(OSRRefE21_17x_0)</f>
        <v>6371</v>
      </c>
      <c r="O207" s="1">
        <f>SUM(OSRRefE21_17x_1)</f>
        <v>6371</v>
      </c>
      <c r="Q207" s="2">
        <f>SUM(OSRRefD20_17x)+IFERROR(SUM(OSRRefE20_17x),0)</f>
        <v>61134.95</v>
      </c>
    </row>
    <row r="208" spans="1:17" s="34" customFormat="1" hidden="1" outlineLevel="1" x14ac:dyDescent="0.25">
      <c r="A208" s="35"/>
      <c r="B208" s="10" t="str">
        <f>CONCATENATE("          ","6252", " - ","ROYALTY DUE CSTV")</f>
        <v xml:space="preserve">          6252 - ROYALTY DUE CSTV</v>
      </c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>
        <v>1085</v>
      </c>
      <c r="O208" s="2">
        <v>1085</v>
      </c>
      <c r="P208" s="9"/>
      <c r="Q208" s="2">
        <f>SUM(OSRRefD21_17_0x)+IFERROR(SUM(OSRRefE21_17_0x),0)</f>
        <v>2170</v>
      </c>
    </row>
    <row r="209" spans="1:17" s="34" customFormat="1" hidden="1" outlineLevel="1" x14ac:dyDescent="0.25">
      <c r="A209" s="35"/>
      <c r="B209" s="10" t="str">
        <f>CONCATENATE("          ","6253", " - ","ROYALTY DUE ATHLETICS-LRG")</f>
        <v xml:space="preserve">          6253 - ROYALTY DUE ATHLETICS-LRG</v>
      </c>
      <c r="C209" s="11"/>
      <c r="D209" s="2">
        <v>5672.2</v>
      </c>
      <c r="E209" s="2">
        <v>2250</v>
      </c>
      <c r="F209" s="2"/>
      <c r="G209" s="2">
        <v>10489.6</v>
      </c>
      <c r="H209" s="2"/>
      <c r="I209" s="2"/>
      <c r="J209" s="2">
        <v>7785.78</v>
      </c>
      <c r="K209" s="2"/>
      <c r="L209" s="2"/>
      <c r="M209" s="2">
        <v>8961.48</v>
      </c>
      <c r="N209" s="2">
        <v>4037</v>
      </c>
      <c r="O209" s="2">
        <v>4037</v>
      </c>
      <c r="P209" s="9"/>
      <c r="Q209" s="2">
        <f>SUM(OSRRefD21_17_1x)+IFERROR(SUM(OSRRefE21_17_1x),0)</f>
        <v>43233.06</v>
      </c>
    </row>
    <row r="210" spans="1:17" s="34" customFormat="1" hidden="1" outlineLevel="1" x14ac:dyDescent="0.25">
      <c r="A210" s="35"/>
      <c r="B210" s="10" t="str">
        <f>CONCATENATE("          ","6254", " - ","ROYALTY &amp; COMMISSIONS")</f>
        <v xml:space="preserve">          6254 - ROYALTY &amp; COMMISSIONS</v>
      </c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>
        <v>1149</v>
      </c>
      <c r="O210" s="2">
        <v>1149</v>
      </c>
      <c r="P210" s="9"/>
      <c r="Q210" s="2">
        <f>SUM(OSRRefD21_17_2x)+IFERROR(SUM(OSRRefE21_17_2x),0)</f>
        <v>2298</v>
      </c>
    </row>
    <row r="211" spans="1:17" s="34" customFormat="1" hidden="1" outlineLevel="1" x14ac:dyDescent="0.25">
      <c r="A211" s="35"/>
      <c r="B211" s="10" t="str">
        <f>CONCATENATE("          ","6259", " - ","ROYALTY &amp; COMMISSIONS")</f>
        <v xml:space="preserve">          6259 - ROYALTY &amp; COMMISSIONS</v>
      </c>
      <c r="C211" s="11"/>
      <c r="D211" s="2">
        <v>5317.55</v>
      </c>
      <c r="E211" s="2">
        <v>4.6500000000000004</v>
      </c>
      <c r="F211" s="2">
        <v>62.6</v>
      </c>
      <c r="G211" s="2">
        <v>320.39999999999998</v>
      </c>
      <c r="H211" s="2">
        <v>4453.09</v>
      </c>
      <c r="I211" s="2">
        <v>5.97</v>
      </c>
      <c r="J211" s="2">
        <v>3.81</v>
      </c>
      <c r="K211" s="2">
        <v>468.34</v>
      </c>
      <c r="L211" s="2">
        <v>27.21</v>
      </c>
      <c r="M211" s="2">
        <v>2570.27</v>
      </c>
      <c r="N211" s="2">
        <v>100</v>
      </c>
      <c r="O211" s="2">
        <v>100</v>
      </c>
      <c r="P211" s="9"/>
      <c r="Q211" s="2">
        <f>SUM(OSRRefD21_17_3x)+IFERROR(SUM(OSRRefE21_17_3x),0)</f>
        <v>13433.89</v>
      </c>
    </row>
    <row r="212" spans="1:17" s="34" customFormat="1" collapsed="1" x14ac:dyDescent="0.25">
      <c r="A212" s="35"/>
      <c r="B212" s="11" t="str">
        <f>CONCATENATE("     ","Services                                          ")</f>
        <v xml:space="preserve">     Services                                          </v>
      </c>
      <c r="C212" s="11"/>
      <c r="D212" s="1">
        <f>SUM(OSRRefD21_18x_0)</f>
        <v>3883.7400000000002</v>
      </c>
      <c r="E212" s="1">
        <f>SUM(OSRRefD21_18x_1)</f>
        <v>421.78</v>
      </c>
      <c r="F212" s="1">
        <f>SUM(OSRRefD21_18x_2)</f>
        <v>4517.25</v>
      </c>
      <c r="G212" s="1">
        <f>SUM(OSRRefD21_18x_3)</f>
        <v>3968.4200000000005</v>
      </c>
      <c r="H212" s="1">
        <f>SUM(OSRRefD21_18x_4)</f>
        <v>3898.5299999999997</v>
      </c>
      <c r="I212" s="1">
        <f>SUM(OSRRefD21_18x_5)</f>
        <v>2494.0299999999997</v>
      </c>
      <c r="J212" s="1">
        <f>SUM(OSRRefD21_18x_6)</f>
        <v>5545.57</v>
      </c>
      <c r="K212" s="1">
        <f>SUM(OSRRefD21_18x_7)</f>
        <v>3932.57</v>
      </c>
      <c r="L212" s="1">
        <f>SUM(OSRRefD21_18x_8)</f>
        <v>7475.7699999999995</v>
      </c>
      <c r="M212" s="1">
        <f>SUM(OSRRefD21_18x_9)</f>
        <v>4006.32</v>
      </c>
      <c r="N212" s="1">
        <f>SUM(OSRRefE21_18x_0)</f>
        <v>4455</v>
      </c>
      <c r="O212" s="1">
        <f>SUM(OSRRefE21_18x_1)</f>
        <v>4510</v>
      </c>
      <c r="Q212" s="2">
        <f>SUM(OSRRefD20_18x)+IFERROR(SUM(OSRRefE20_18x),0)</f>
        <v>49108.979999999996</v>
      </c>
    </row>
    <row r="213" spans="1:17" s="34" customFormat="1" hidden="1" outlineLevel="1" x14ac:dyDescent="0.25">
      <c r="A213" s="35"/>
      <c r="B213" s="10" t="str">
        <f>CONCATENATE("          ","6282", " - ","JANITORIAL/EXTERMINATOR EXPENS")</f>
        <v xml:space="preserve">          6282 - JANITORIAL/EXTERMINATOR EXPENS</v>
      </c>
      <c r="C213" s="11"/>
      <c r="D213" s="2">
        <v>136.5</v>
      </c>
      <c r="E213" s="2">
        <v>339.94</v>
      </c>
      <c r="F213" s="2">
        <v>266.5</v>
      </c>
      <c r="G213" s="2">
        <v>4330.68</v>
      </c>
      <c r="H213" s="2">
        <v>266.5</v>
      </c>
      <c r="I213" s="2"/>
      <c r="J213" s="2">
        <v>1613</v>
      </c>
      <c r="K213" s="2"/>
      <c r="L213" s="2">
        <v>453</v>
      </c>
      <c r="M213" s="2"/>
      <c r="N213" s="2">
        <v>4000</v>
      </c>
      <c r="O213" s="2">
        <v>4000</v>
      </c>
      <c r="P213" s="9"/>
      <c r="Q213" s="2">
        <f>SUM(OSRRefD21_18_0x)+IFERROR(SUM(OSRRefE21_18_0x),0)</f>
        <v>15406.12</v>
      </c>
    </row>
    <row r="214" spans="1:17" s="34" customFormat="1" hidden="1" outlineLevel="1" x14ac:dyDescent="0.25">
      <c r="A214" s="35"/>
      <c r="B214" s="10" t="str">
        <f>CONCATENATE("          ","6283", " - ","PLANT SERVICE")</f>
        <v xml:space="preserve">          6283 - PLANT SERVICE</v>
      </c>
      <c r="C214" s="11"/>
      <c r="D214" s="2">
        <v>130</v>
      </c>
      <c r="E214" s="2"/>
      <c r="F214" s="2"/>
      <c r="G214" s="2"/>
      <c r="H214" s="2">
        <v>41.31</v>
      </c>
      <c r="I214" s="2"/>
      <c r="J214" s="2"/>
      <c r="K214" s="2"/>
      <c r="L214" s="2"/>
      <c r="M214" s="2"/>
      <c r="N214" s="2">
        <v>0</v>
      </c>
      <c r="O214" s="2">
        <v>0</v>
      </c>
      <c r="P214" s="9"/>
      <c r="Q214" s="2">
        <f>SUM(OSRRefD21_18_1x)+IFERROR(SUM(OSRRefE21_18_1x),0)</f>
        <v>171.31</v>
      </c>
    </row>
    <row r="215" spans="1:17" s="34" customFormat="1" hidden="1" outlineLevel="1" x14ac:dyDescent="0.25">
      <c r="A215" s="35"/>
      <c r="B215" s="10" t="str">
        <f>CONCATENATE("          ","6284", " - ","TRASH REMOVAL EXPENSE")</f>
        <v xml:space="preserve">          6284 - TRASH REMOVAL EXPENSE</v>
      </c>
      <c r="C215" s="11"/>
      <c r="D215" s="2">
        <v>142.57</v>
      </c>
      <c r="E215" s="2">
        <v>142.57</v>
      </c>
      <c r="F215" s="2">
        <v>142.57</v>
      </c>
      <c r="G215" s="2">
        <v>157.59</v>
      </c>
      <c r="H215" s="2"/>
      <c r="I215" s="2">
        <v>285.14</v>
      </c>
      <c r="J215" s="2">
        <v>142.57</v>
      </c>
      <c r="K215" s="2">
        <v>142.57</v>
      </c>
      <c r="L215" s="2">
        <v>142.57</v>
      </c>
      <c r="M215" s="2">
        <v>142.57</v>
      </c>
      <c r="N215" s="2">
        <v>55</v>
      </c>
      <c r="O215" s="2">
        <v>110</v>
      </c>
      <c r="P215" s="9"/>
      <c r="Q215" s="2">
        <f>SUM(OSRRefD21_18_2x)+IFERROR(SUM(OSRRefE21_18_2x),0)</f>
        <v>1605.7199999999998</v>
      </c>
    </row>
    <row r="216" spans="1:17" s="34" customFormat="1" hidden="1" outlineLevel="1" x14ac:dyDescent="0.25">
      <c r="A216" s="35"/>
      <c r="B216" s="10" t="str">
        <f>CONCATENATE("          ","6285", " - ","JANITORIAL SERVICES")</f>
        <v xml:space="preserve">          6285 - JANITORIAL SERVICES</v>
      </c>
      <c r="C216" s="11"/>
      <c r="D216" s="2">
        <v>3474.67</v>
      </c>
      <c r="E216" s="2">
        <v>-60.73</v>
      </c>
      <c r="F216" s="2">
        <v>4108.18</v>
      </c>
      <c r="G216" s="2">
        <v>-519.85</v>
      </c>
      <c r="H216" s="2">
        <v>3590.72</v>
      </c>
      <c r="I216" s="2">
        <v>2208.89</v>
      </c>
      <c r="J216" s="2">
        <v>3790</v>
      </c>
      <c r="K216" s="2">
        <v>3790</v>
      </c>
      <c r="L216" s="2">
        <v>6880.2</v>
      </c>
      <c r="M216" s="2">
        <v>3863.75</v>
      </c>
      <c r="N216" s="2">
        <v>400</v>
      </c>
      <c r="O216" s="2">
        <v>400</v>
      </c>
      <c r="P216" s="9"/>
      <c r="Q216" s="2">
        <f>SUM(OSRRefD21_18_3x)+IFERROR(SUM(OSRRefE21_18_3x),0)</f>
        <v>31925.829999999998</v>
      </c>
    </row>
    <row r="217" spans="1:17" s="34" customFormat="1" collapsed="1" x14ac:dyDescent="0.25">
      <c r="A217" s="35"/>
      <c r="B217" s="11" t="str">
        <f>CONCATENATE("     ","Subscriptions &amp; Dues                              ")</f>
        <v xml:space="preserve">     Subscriptions &amp; Dues                              </v>
      </c>
      <c r="C217" s="11"/>
      <c r="D217" s="1">
        <f>SUM(OSRRefD21_19x_0)</f>
        <v>365</v>
      </c>
      <c r="E217" s="1">
        <f>SUM(OSRRefD21_19x_1)</f>
        <v>270</v>
      </c>
      <c r="F217" s="1">
        <f>SUM(OSRRefD21_19x_2)</f>
        <v>148.77000000000001</v>
      </c>
      <c r="G217" s="1">
        <f>SUM(OSRRefD21_19x_3)</f>
        <v>865.32</v>
      </c>
      <c r="H217" s="1">
        <f>SUM(OSRRefD21_19x_4)</f>
        <v>-274.08</v>
      </c>
      <c r="I217" s="1">
        <f>SUM(OSRRefD21_19x_5)</f>
        <v>80.430000000000007</v>
      </c>
      <c r="J217" s="1">
        <f>SUM(OSRRefD21_19x_6)</f>
        <v>2389.69</v>
      </c>
      <c r="K217" s="1">
        <f>SUM(OSRRefD21_19x_7)</f>
        <v>181.41</v>
      </c>
      <c r="L217" s="1">
        <f>SUM(OSRRefD21_19x_8)</f>
        <v>307.78999999999996</v>
      </c>
      <c r="M217" s="1">
        <f>SUM(OSRRefD21_19x_9)</f>
        <v>2485.8000000000002</v>
      </c>
      <c r="N217" s="1">
        <f>SUM(OSRRefE21_19x_0)</f>
        <v>1100</v>
      </c>
      <c r="O217" s="1">
        <f>SUM(OSRRefE21_19x_1)</f>
        <v>1300</v>
      </c>
      <c r="Q217" s="2">
        <f>SUM(OSRRefD20_19x)+IFERROR(SUM(OSRRefE20_19x),0)</f>
        <v>9220.130000000001</v>
      </c>
    </row>
    <row r="218" spans="1:17" s="34" customFormat="1" hidden="1" outlineLevel="1" x14ac:dyDescent="0.25">
      <c r="A218" s="35"/>
      <c r="B218" s="10" t="str">
        <f>CONCATENATE("          ","6258", " - ","MEMBERSHIP DUES")</f>
        <v xml:space="preserve">          6258 - MEMBERSHIP DUES</v>
      </c>
      <c r="C218" s="11"/>
      <c r="D218" s="2">
        <v>290</v>
      </c>
      <c r="E218" s="2">
        <v>270</v>
      </c>
      <c r="F218" s="2">
        <v>73.040000000000006</v>
      </c>
      <c r="G218" s="2">
        <v>790.32</v>
      </c>
      <c r="H218" s="2">
        <v>-274.08</v>
      </c>
      <c r="I218" s="2">
        <v>80.430000000000007</v>
      </c>
      <c r="J218" s="2">
        <v>462.61</v>
      </c>
      <c r="K218" s="2">
        <v>181.41</v>
      </c>
      <c r="L218" s="2">
        <v>232.79</v>
      </c>
      <c r="M218" s="2">
        <v>328.71</v>
      </c>
      <c r="N218" s="2">
        <v>1100</v>
      </c>
      <c r="O218" s="2">
        <v>1300</v>
      </c>
      <c r="P218" s="9"/>
      <c r="Q218" s="2">
        <f>SUM(OSRRefD21_19_0x)+IFERROR(SUM(OSRRefE21_19_0x),0)</f>
        <v>4835.2300000000005</v>
      </c>
    </row>
    <row r="219" spans="1:17" s="34" customFormat="1" hidden="1" outlineLevel="1" x14ac:dyDescent="0.25">
      <c r="A219" s="35"/>
      <c r="B219" s="10" t="str">
        <f>CONCATENATE("          ","6275", " - ","SUBSCRIPTIONS")</f>
        <v xml:space="preserve">          6275 - SUBSCRIPTIONS</v>
      </c>
      <c r="C219" s="11"/>
      <c r="D219" s="2">
        <v>75</v>
      </c>
      <c r="E219" s="2"/>
      <c r="F219" s="2">
        <v>75.73</v>
      </c>
      <c r="G219" s="2">
        <v>75</v>
      </c>
      <c r="H219" s="2"/>
      <c r="I219" s="2"/>
      <c r="J219" s="2">
        <v>1927.08</v>
      </c>
      <c r="K219" s="2"/>
      <c r="L219" s="2">
        <v>75</v>
      </c>
      <c r="M219" s="2">
        <v>2157.09</v>
      </c>
      <c r="N219" s="2">
        <v>0</v>
      </c>
      <c r="O219" s="2">
        <v>0</v>
      </c>
      <c r="P219" s="9"/>
      <c r="Q219" s="2">
        <f>SUM(OSRRefD21_19_1x)+IFERROR(SUM(OSRRefE21_19_1x),0)</f>
        <v>4384.8999999999996</v>
      </c>
    </row>
    <row r="220" spans="1:17" s="34" customFormat="1" collapsed="1" x14ac:dyDescent="0.25">
      <c r="A220" s="35"/>
      <c r="B220" s="11" t="str">
        <f>CONCATENATE("     ","Supplies                                          ")</f>
        <v xml:space="preserve">     Supplies                                          </v>
      </c>
      <c r="C220" s="11"/>
      <c r="D220" s="1">
        <f>SUM(OSRRefD21_20x_0)</f>
        <v>12188.04</v>
      </c>
      <c r="E220" s="1">
        <f>SUM(OSRRefD21_20x_1)</f>
        <v>8805.4500000000007</v>
      </c>
      <c r="F220" s="1">
        <f>SUM(OSRRefD21_20x_2)</f>
        <v>13891.560000000001</v>
      </c>
      <c r="G220" s="1">
        <f>SUM(OSRRefD21_20x_3)</f>
        <v>23238.389999999996</v>
      </c>
      <c r="H220" s="1">
        <f>SUM(OSRRefD21_20x_4)</f>
        <v>14973.19</v>
      </c>
      <c r="I220" s="1">
        <f>SUM(OSRRefD21_20x_5)</f>
        <v>6983.04</v>
      </c>
      <c r="J220" s="1">
        <f>SUM(OSRRefD21_20x_6)</f>
        <v>12992.79</v>
      </c>
      <c r="K220" s="1">
        <f>SUM(OSRRefD21_20x_7)</f>
        <v>7912.75</v>
      </c>
      <c r="L220" s="1">
        <f>SUM(OSRRefD21_20x_8)</f>
        <v>5831.1500000000005</v>
      </c>
      <c r="M220" s="1">
        <f>SUM(OSRRefD21_20x_9)</f>
        <v>8711.98</v>
      </c>
      <c r="N220" s="1">
        <f>SUM(OSRRefE21_20x_0)</f>
        <v>4570</v>
      </c>
      <c r="O220" s="1">
        <f>SUM(OSRRefE21_20x_1)</f>
        <v>3370</v>
      </c>
      <c r="Q220" s="2">
        <f>SUM(OSRRefD20_20x)+IFERROR(SUM(OSRRefE20_20x),0)</f>
        <v>123468.33999999998</v>
      </c>
    </row>
    <row r="221" spans="1:17" s="34" customFormat="1" hidden="1" outlineLevel="1" x14ac:dyDescent="0.25">
      <c r="A221" s="35"/>
      <c r="B221" s="10" t="str">
        <f>CONCATENATE("          ","6234", " - ","EXPENDABLE SUPPLIES &amp; EQUIPMEN")</f>
        <v xml:space="preserve">          6234 - EXPENDABLE SUPPLIES &amp; EQUIPMEN</v>
      </c>
      <c r="C221" s="11"/>
      <c r="D221" s="2"/>
      <c r="E221" s="2"/>
      <c r="F221" s="2"/>
      <c r="G221" s="2">
        <v>101.34</v>
      </c>
      <c r="H221" s="2">
        <v>-550.67999999999995</v>
      </c>
      <c r="I221" s="2"/>
      <c r="J221" s="2">
        <v>396.5</v>
      </c>
      <c r="K221" s="2"/>
      <c r="L221" s="2">
        <v>1733.49</v>
      </c>
      <c r="M221" s="2">
        <v>53</v>
      </c>
      <c r="N221" s="2">
        <v>100</v>
      </c>
      <c r="O221" s="2">
        <v>100</v>
      </c>
      <c r="P221" s="9"/>
      <c r="Q221" s="2">
        <f>SUM(OSRRefD21_20_0x)+IFERROR(SUM(OSRRefE21_20_0x),0)</f>
        <v>1933.65</v>
      </c>
    </row>
    <row r="222" spans="1:17" s="34" customFormat="1" hidden="1" outlineLevel="1" x14ac:dyDescent="0.25">
      <c r="A222" s="35"/>
      <c r="B222" s="10" t="str">
        <f>CONCATENATE("          ","6235", " - ","COVID-19 EXPENSES")</f>
        <v xml:space="preserve">          6235 - COVID-19 EXPENSES</v>
      </c>
      <c r="C222" s="11"/>
      <c r="D222" s="2">
        <v>6680.23</v>
      </c>
      <c r="E222" s="2">
        <v>621.78</v>
      </c>
      <c r="F222" s="2">
        <v>2460.7800000000002</v>
      </c>
      <c r="G222" s="2">
        <v>16805.12</v>
      </c>
      <c r="H222" s="2">
        <v>2556.84</v>
      </c>
      <c r="I222" s="2">
        <v>2921.2</v>
      </c>
      <c r="J222" s="2">
        <v>2921.2</v>
      </c>
      <c r="K222" s="2">
        <v>2992.14</v>
      </c>
      <c r="L222" s="2">
        <v>370.83</v>
      </c>
      <c r="M222" s="2">
        <v>3407.79</v>
      </c>
      <c r="N222" s="2">
        <v>250</v>
      </c>
      <c r="O222" s="2">
        <v>250</v>
      </c>
      <c r="P222" s="9"/>
      <c r="Q222" s="2">
        <f>SUM(OSRRefD21_20_1x)+IFERROR(SUM(OSRRefE21_20_1x),0)</f>
        <v>42237.909999999996</v>
      </c>
    </row>
    <row r="223" spans="1:17" s="34" customFormat="1" hidden="1" outlineLevel="1" x14ac:dyDescent="0.25">
      <c r="A223" s="35"/>
      <c r="B223" s="10" t="str">
        <f>CONCATENATE("          ","6237", " - ","JANITORIAL SUPPLIES")</f>
        <v xml:space="preserve">          6237 - JANITORIAL SUPPLIES</v>
      </c>
      <c r="C223" s="11"/>
      <c r="D223" s="2">
        <v>139.31</v>
      </c>
      <c r="E223" s="2"/>
      <c r="F223" s="2"/>
      <c r="G223" s="2">
        <v>1109.05</v>
      </c>
      <c r="H223" s="2">
        <v>246.99</v>
      </c>
      <c r="I223" s="2">
        <v>438.53</v>
      </c>
      <c r="J223" s="2">
        <v>329.77</v>
      </c>
      <c r="K223" s="2"/>
      <c r="L223" s="2">
        <v>637.59</v>
      </c>
      <c r="M223" s="2">
        <v>588.30999999999995</v>
      </c>
      <c r="N223" s="2">
        <v>220</v>
      </c>
      <c r="O223" s="2">
        <v>220</v>
      </c>
      <c r="P223" s="9"/>
      <c r="Q223" s="2">
        <f>SUM(OSRRefD21_20_2x)+IFERROR(SUM(OSRRefE21_20_2x),0)</f>
        <v>3929.5499999999997</v>
      </c>
    </row>
    <row r="224" spans="1:17" s="34" customFormat="1" hidden="1" outlineLevel="1" x14ac:dyDescent="0.25">
      <c r="A224" s="35"/>
      <c r="B224" s="10" t="str">
        <f>CONCATENATE("          ","6241", " - ","OFFICE EXPENSE")</f>
        <v xml:space="preserve">          6241 - OFFICE EXPENSE</v>
      </c>
      <c r="C224" s="11"/>
      <c r="D224" s="2">
        <v>430.41</v>
      </c>
      <c r="E224" s="2">
        <v>3080.94</v>
      </c>
      <c r="F224" s="2">
        <v>4794.93</v>
      </c>
      <c r="G224" s="2">
        <v>359.78</v>
      </c>
      <c r="H224" s="2">
        <v>845.39</v>
      </c>
      <c r="I224" s="2">
        <v>1361.67</v>
      </c>
      <c r="J224" s="2">
        <v>-239.51</v>
      </c>
      <c r="K224" s="2">
        <v>633.41999999999996</v>
      </c>
      <c r="L224" s="2">
        <v>496.61</v>
      </c>
      <c r="M224" s="2">
        <v>534.11</v>
      </c>
      <c r="N224" s="2">
        <v>500</v>
      </c>
      <c r="O224" s="2">
        <v>375</v>
      </c>
      <c r="P224" s="9"/>
      <c r="Q224" s="2">
        <f>SUM(OSRRefD21_20_3x)+IFERROR(SUM(OSRRefE21_20_3x),0)</f>
        <v>13172.750000000002</v>
      </c>
    </row>
    <row r="225" spans="1:17" s="34" customFormat="1" hidden="1" outlineLevel="1" x14ac:dyDescent="0.25">
      <c r="A225" s="35"/>
      <c r="B225" s="10" t="str">
        <f>CONCATENATE("          ","6243", " - ","PAPER SUPPLIES")</f>
        <v xml:space="preserve">          6243 - PAPER SUPPLIES</v>
      </c>
      <c r="C225" s="11"/>
      <c r="D225" s="2">
        <v>1080</v>
      </c>
      <c r="E225" s="2">
        <v>2044.69</v>
      </c>
      <c r="F225" s="2"/>
      <c r="G225" s="2">
        <v>449.01</v>
      </c>
      <c r="H225" s="2">
        <v>1108.5999999999999</v>
      </c>
      <c r="I225" s="2">
        <v>411.1</v>
      </c>
      <c r="J225" s="2">
        <v>1080</v>
      </c>
      <c r="K225" s="2"/>
      <c r="L225" s="2">
        <v>309.25</v>
      </c>
      <c r="M225" s="2">
        <v>199.93</v>
      </c>
      <c r="N225" s="2">
        <v>750</v>
      </c>
      <c r="O225" s="2">
        <v>100</v>
      </c>
      <c r="P225" s="9"/>
      <c r="Q225" s="2">
        <f>SUM(OSRRefD21_20_4x)+IFERROR(SUM(OSRRefE21_20_4x),0)</f>
        <v>7532.58</v>
      </c>
    </row>
    <row r="226" spans="1:17" s="34" customFormat="1" hidden="1" outlineLevel="1" x14ac:dyDescent="0.25">
      <c r="A226" s="35"/>
      <c r="B226" s="10" t="str">
        <f>CONCATENATE("          ","6244", " - ","SAFETY SUPPLY EXPENSE")</f>
        <v xml:space="preserve">          6244 - SAFETY SUPPLY EXPENSE</v>
      </c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>
        <v>0</v>
      </c>
      <c r="O226" s="2">
        <v>0</v>
      </c>
      <c r="P226" s="9"/>
      <c r="Q226" s="2">
        <f>SUM(OSRRefD21_20_5x)+IFERROR(SUM(OSRRefE21_20_5x),0)</f>
        <v>0</v>
      </c>
    </row>
    <row r="227" spans="1:17" s="34" customFormat="1" hidden="1" outlineLevel="1" x14ac:dyDescent="0.25">
      <c r="A227" s="35"/>
      <c r="B227" s="10" t="str">
        <f>CONCATENATE("          ","6245", " - ","PRINTING")</f>
        <v xml:space="preserve">          6245 - PRINTING</v>
      </c>
      <c r="C227" s="11"/>
      <c r="D227" s="2">
        <v>-1543.5</v>
      </c>
      <c r="E227" s="2">
        <v>1248</v>
      </c>
      <c r="F227" s="2">
        <v>356.96</v>
      </c>
      <c r="G227" s="2">
        <v>353.09</v>
      </c>
      <c r="H227" s="2">
        <v>93.72</v>
      </c>
      <c r="I227" s="2"/>
      <c r="J227" s="2"/>
      <c r="K227" s="2">
        <v>398.67</v>
      </c>
      <c r="L227" s="2">
        <v>447.27</v>
      </c>
      <c r="M227" s="2">
        <v>1766.38</v>
      </c>
      <c r="N227" s="2">
        <v>525</v>
      </c>
      <c r="O227" s="2">
        <v>125</v>
      </c>
      <c r="P227" s="9"/>
      <c r="Q227" s="2">
        <f>SUM(OSRRefD21_20_6x)+IFERROR(SUM(OSRRefE21_20_6x),0)</f>
        <v>3770.59</v>
      </c>
    </row>
    <row r="228" spans="1:17" s="34" customFormat="1" hidden="1" outlineLevel="1" x14ac:dyDescent="0.25">
      <c r="A228" s="35"/>
      <c r="B228" s="10" t="str">
        <f>CONCATENATE("          ","6247", " - ","STORE SUPPLIES")</f>
        <v xml:space="preserve">          6247 - STORE SUPPLIES</v>
      </c>
      <c r="C228" s="11"/>
      <c r="D228" s="2">
        <v>5401.59</v>
      </c>
      <c r="E228" s="2">
        <v>1810.04</v>
      </c>
      <c r="F228" s="2">
        <v>6278.89</v>
      </c>
      <c r="G228" s="2">
        <v>4061</v>
      </c>
      <c r="H228" s="2">
        <v>10672.33</v>
      </c>
      <c r="I228" s="2">
        <v>1850.54</v>
      </c>
      <c r="J228" s="2">
        <v>8504.83</v>
      </c>
      <c r="K228" s="2">
        <v>3888.52</v>
      </c>
      <c r="L228" s="2">
        <v>1836.11</v>
      </c>
      <c r="M228" s="2">
        <v>2162.46</v>
      </c>
      <c r="N228" s="2">
        <v>1225</v>
      </c>
      <c r="O228" s="2">
        <v>1200</v>
      </c>
      <c r="P228" s="9"/>
      <c r="Q228" s="2">
        <f>SUM(OSRRefD21_20_7x)+IFERROR(SUM(OSRRefE21_20_7x),0)</f>
        <v>48891.31</v>
      </c>
    </row>
    <row r="229" spans="1:17" s="34" customFormat="1" hidden="1" outlineLevel="1" x14ac:dyDescent="0.25">
      <c r="A229" s="35"/>
      <c r="B229" s="10" t="str">
        <f>CONCATENATE("          ","6248", " - ","UNIFORMS")</f>
        <v xml:space="preserve">          6248 - UNIFORMS</v>
      </c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>
        <v>1000</v>
      </c>
      <c r="O229" s="2">
        <v>1000</v>
      </c>
      <c r="P229" s="9"/>
      <c r="Q229" s="2">
        <f>SUM(OSRRefD21_20_8x)+IFERROR(SUM(OSRRefE21_20_8x),0)</f>
        <v>2000</v>
      </c>
    </row>
    <row r="230" spans="1:17" s="34" customFormat="1" collapsed="1" x14ac:dyDescent="0.25">
      <c r="A230" s="35"/>
      <c r="B230" s="11" t="str">
        <f>CONCATENATE("     ","Telephone/Data Lines                              ")</f>
        <v xml:space="preserve">     Telephone/Data Lines                              </v>
      </c>
      <c r="C230" s="11"/>
      <c r="D230" s="1">
        <f>SUM(OSRRefD21_21x_0)</f>
        <v>2678.05</v>
      </c>
      <c r="E230" s="1">
        <f>SUM(OSRRefD21_21x_1)</f>
        <v>2403.75</v>
      </c>
      <c r="F230" s="1">
        <f>SUM(OSRRefD21_21x_2)</f>
        <v>5360.54</v>
      </c>
      <c r="G230" s="1">
        <f>SUM(OSRRefD21_21x_3)</f>
        <v>1203.6300000000001</v>
      </c>
      <c r="H230" s="1">
        <f>SUM(OSRRefD21_21x_4)</f>
        <v>2981.03</v>
      </c>
      <c r="I230" s="1">
        <f>SUM(OSRRefD21_21x_5)</f>
        <v>2254.4899999999998</v>
      </c>
      <c r="J230" s="1">
        <f>SUM(OSRRefD21_21x_6)</f>
        <v>2389.2600000000002</v>
      </c>
      <c r="K230" s="1">
        <f>SUM(OSRRefD21_21x_7)</f>
        <v>1489.25</v>
      </c>
      <c r="L230" s="1">
        <f>SUM(OSRRefD21_21x_8)</f>
        <v>1714.92</v>
      </c>
      <c r="M230" s="1">
        <f>SUM(OSRRefD21_21x_9)</f>
        <v>2234.06</v>
      </c>
      <c r="N230" s="1">
        <f>SUM(OSRRefE21_21x_0)</f>
        <v>2205</v>
      </c>
      <c r="O230" s="1">
        <f>SUM(OSRRefE21_21x_1)</f>
        <v>2205</v>
      </c>
      <c r="Q230" s="2">
        <f>SUM(OSRRefD20_21x)+IFERROR(SUM(OSRRefE20_21x),0)</f>
        <v>29118.98</v>
      </c>
    </row>
    <row r="231" spans="1:17" s="34" customFormat="1" hidden="1" outlineLevel="1" x14ac:dyDescent="0.25">
      <c r="A231" s="35"/>
      <c r="B231" s="10" t="str">
        <f>CONCATENATE("          ","6303", " - ","DATA PHONE LINES")</f>
        <v xml:space="preserve">          6303 - DATA PHONE LINES</v>
      </c>
      <c r="C231" s="11"/>
      <c r="D231" s="2">
        <v>295</v>
      </c>
      <c r="E231" s="2"/>
      <c r="F231" s="2">
        <v>885</v>
      </c>
      <c r="G231" s="2"/>
      <c r="H231" s="2">
        <v>885</v>
      </c>
      <c r="I231" s="2"/>
      <c r="J231" s="2">
        <v>295</v>
      </c>
      <c r="K231" s="2">
        <v>590</v>
      </c>
      <c r="L231" s="2"/>
      <c r="M231" s="2">
        <v>590</v>
      </c>
      <c r="N231" s="2">
        <v>530</v>
      </c>
      <c r="O231" s="2">
        <v>530</v>
      </c>
      <c r="P231" s="9"/>
      <c r="Q231" s="2">
        <f>SUM(OSRRefD21_21_0x)+IFERROR(SUM(OSRRefE21_21_0x),0)</f>
        <v>4600</v>
      </c>
    </row>
    <row r="232" spans="1:17" s="34" customFormat="1" hidden="1" outlineLevel="1" x14ac:dyDescent="0.25">
      <c r="A232" s="35"/>
      <c r="B232" s="10" t="str">
        <f>CONCATENATE("          ","6309", " - ","TELEPHONE")</f>
        <v xml:space="preserve">          6309 - TELEPHONE</v>
      </c>
      <c r="C232" s="11"/>
      <c r="D232" s="2">
        <v>2383.0500000000002</v>
      </c>
      <c r="E232" s="2">
        <v>2403.75</v>
      </c>
      <c r="F232" s="2">
        <v>4475.54</v>
      </c>
      <c r="G232" s="2">
        <v>1203.6300000000001</v>
      </c>
      <c r="H232" s="2">
        <v>2096.0300000000002</v>
      </c>
      <c r="I232" s="2">
        <v>2254.4899999999998</v>
      </c>
      <c r="J232" s="2">
        <v>2094.2600000000002</v>
      </c>
      <c r="K232" s="2">
        <v>899.25</v>
      </c>
      <c r="L232" s="2">
        <v>1714.92</v>
      </c>
      <c r="M232" s="2">
        <v>1644.06</v>
      </c>
      <c r="N232" s="2">
        <v>1675</v>
      </c>
      <c r="O232" s="2">
        <v>1675</v>
      </c>
      <c r="P232" s="9"/>
      <c r="Q232" s="2">
        <f>SUM(OSRRefD21_21_1x)+IFERROR(SUM(OSRRefE21_21_1x),0)</f>
        <v>24518.98</v>
      </c>
    </row>
    <row r="233" spans="1:17" s="34" customFormat="1" collapsed="1" x14ac:dyDescent="0.25">
      <c r="A233" s="35"/>
      <c r="B233" s="11" t="str">
        <f>CONCATENATE("     ","Training                                          ")</f>
        <v xml:space="preserve">     Training                                          </v>
      </c>
      <c r="C233" s="11"/>
      <c r="D233" s="1">
        <f>SUM(OSRRefD21_22x_0)</f>
        <v>131.63</v>
      </c>
      <c r="E233" s="1">
        <f>SUM(OSRRefD21_22x_1)</f>
        <v>0</v>
      </c>
      <c r="F233" s="1">
        <f>SUM(OSRRefD21_22x_2)</f>
        <v>0</v>
      </c>
      <c r="G233" s="1">
        <f>SUM(OSRRefD21_22x_3)</f>
        <v>114</v>
      </c>
      <c r="H233" s="1">
        <f>SUM(OSRRefD21_22x_4)</f>
        <v>0</v>
      </c>
      <c r="I233" s="1">
        <f>SUM(OSRRefD21_22x_5)</f>
        <v>0</v>
      </c>
      <c r="J233" s="1">
        <f>SUM(OSRRefD21_22x_6)</f>
        <v>0</v>
      </c>
      <c r="K233" s="1">
        <f>SUM(OSRRefD21_22x_7)</f>
        <v>750</v>
      </c>
      <c r="L233" s="1">
        <f>SUM(OSRRefD21_22x_8)</f>
        <v>0</v>
      </c>
      <c r="M233" s="1">
        <f>SUM(OSRRefD21_22x_9)</f>
        <v>0</v>
      </c>
      <c r="N233" s="1">
        <f>SUM(OSRRefE21_22x_0)</f>
        <v>0</v>
      </c>
      <c r="O233" s="1">
        <f>SUM(OSRRefE21_22x_1)</f>
        <v>0</v>
      </c>
      <c r="Q233" s="2">
        <f>SUM(OSRRefD20_22x)+IFERROR(SUM(OSRRefE20_22x),0)</f>
        <v>995.63</v>
      </c>
    </row>
    <row r="234" spans="1:17" s="34" customFormat="1" hidden="1" outlineLevel="1" x14ac:dyDescent="0.25">
      <c r="A234" s="35"/>
      <c r="B234" s="10" t="str">
        <f>CONCATENATE("          ","6376", " - ","TRAINING")</f>
        <v xml:space="preserve">          6376 - TRAINING</v>
      </c>
      <c r="C234" s="11"/>
      <c r="D234" s="2">
        <v>131.63</v>
      </c>
      <c r="E234" s="2"/>
      <c r="F234" s="2"/>
      <c r="G234" s="2">
        <v>114</v>
      </c>
      <c r="H234" s="2"/>
      <c r="I234" s="2"/>
      <c r="J234" s="2"/>
      <c r="K234" s="2">
        <v>750</v>
      </c>
      <c r="L234" s="2"/>
      <c r="M234" s="2"/>
      <c r="N234" s="2">
        <v>0</v>
      </c>
      <c r="O234" s="2">
        <v>0</v>
      </c>
      <c r="P234" s="9"/>
      <c r="Q234" s="2">
        <f>SUM(OSRRefD21_22_0x)+IFERROR(SUM(OSRRefE21_22_0x),0)</f>
        <v>995.63</v>
      </c>
    </row>
    <row r="235" spans="1:17" s="34" customFormat="1" collapsed="1" x14ac:dyDescent="0.25">
      <c r="A235" s="35"/>
      <c r="B235" s="11" t="str">
        <f>CONCATENATE("     ","Travel                                            ")</f>
        <v xml:space="preserve">     Travel                                            </v>
      </c>
      <c r="C235" s="11"/>
      <c r="D235" s="1">
        <f>SUM(OSRRefD21_23x_0)</f>
        <v>275.20999999999998</v>
      </c>
      <c r="E235" s="1">
        <f>SUM(OSRRefD21_23x_1)</f>
        <v>25.76</v>
      </c>
      <c r="F235" s="1">
        <f>SUM(OSRRefD21_23x_2)</f>
        <v>0</v>
      </c>
      <c r="G235" s="1">
        <f>SUM(OSRRefD21_23x_3)</f>
        <v>80.959999999999994</v>
      </c>
      <c r="H235" s="1">
        <f>SUM(OSRRefD21_23x_4)</f>
        <v>299</v>
      </c>
      <c r="I235" s="1">
        <f>SUM(OSRRefD21_23x_5)</f>
        <v>0</v>
      </c>
      <c r="J235" s="1">
        <f>SUM(OSRRefD21_23x_6)</f>
        <v>129.38</v>
      </c>
      <c r="K235" s="1">
        <f>SUM(OSRRefD21_23x_7)</f>
        <v>0</v>
      </c>
      <c r="L235" s="1">
        <f>SUM(OSRRefD21_23x_8)</f>
        <v>93.02</v>
      </c>
      <c r="M235" s="1">
        <f>SUM(OSRRefD21_23x_9)</f>
        <v>69.069999999999993</v>
      </c>
      <c r="N235" s="1">
        <f>SUM(OSRRefE21_23x_0)</f>
        <v>25</v>
      </c>
      <c r="O235" s="1">
        <f>SUM(OSRRefE21_23x_1)</f>
        <v>25</v>
      </c>
      <c r="Q235" s="2">
        <f>SUM(OSRRefD20_23x)+IFERROR(SUM(OSRRefE20_23x),0)</f>
        <v>1022.3999999999999</v>
      </c>
    </row>
    <row r="236" spans="1:17" s="34" customFormat="1" hidden="1" outlineLevel="1" x14ac:dyDescent="0.25">
      <c r="A236" s="35"/>
      <c r="B236" s="10" t="str">
        <f>CONCATENATE("          ","6292", " - ","TRAVEL/CONFERENCE")</f>
        <v xml:space="preserve">          6292 - TRAVEL/CONFERENCE</v>
      </c>
      <c r="C236" s="11"/>
      <c r="D236" s="2">
        <v>0.16</v>
      </c>
      <c r="E236" s="2"/>
      <c r="F236" s="2"/>
      <c r="G236" s="2"/>
      <c r="H236" s="2">
        <v>299</v>
      </c>
      <c r="I236" s="2"/>
      <c r="J236" s="2"/>
      <c r="K236" s="2"/>
      <c r="L236" s="2"/>
      <c r="M236" s="2"/>
      <c r="N236" s="2"/>
      <c r="O236" s="2"/>
      <c r="P236" s="9"/>
      <c r="Q236" s="2">
        <f>SUM(OSRRefD21_23_0x)+IFERROR(SUM(OSRRefE21_23_0x),0)</f>
        <v>299.16000000000003</v>
      </c>
    </row>
    <row r="237" spans="1:17" s="34" customFormat="1" hidden="1" outlineLevel="1" x14ac:dyDescent="0.25">
      <c r="A237" s="35"/>
      <c r="B237" s="10" t="str">
        <f>CONCATENATE("          ","6294", " - ","TRAVEL OPERATIONAL")</f>
        <v xml:space="preserve">          6294 - TRAVEL OPERATIONAL</v>
      </c>
      <c r="C237" s="11"/>
      <c r="D237" s="2">
        <v>215.16</v>
      </c>
      <c r="E237" s="2">
        <v>25.76</v>
      </c>
      <c r="F237" s="2"/>
      <c r="G237" s="2">
        <v>80.959999999999994</v>
      </c>
      <c r="H237" s="2"/>
      <c r="I237" s="2"/>
      <c r="J237" s="2">
        <v>129.38</v>
      </c>
      <c r="K237" s="2"/>
      <c r="L237" s="2">
        <v>93.02</v>
      </c>
      <c r="M237" s="2">
        <v>69.069999999999993</v>
      </c>
      <c r="N237" s="2">
        <v>0</v>
      </c>
      <c r="O237" s="2">
        <v>0</v>
      </c>
      <c r="P237" s="9"/>
      <c r="Q237" s="2">
        <f>SUM(OSRRefD21_23_1x)+IFERROR(SUM(OSRRefE21_23_1x),0)</f>
        <v>613.34999999999991</v>
      </c>
    </row>
    <row r="238" spans="1:17" s="34" customFormat="1" hidden="1" outlineLevel="1" x14ac:dyDescent="0.25">
      <c r="A238" s="35"/>
      <c r="B238" s="10" t="str">
        <f>CONCATENATE("          ","6298", " - ","VEHICLE MILEAGE")</f>
        <v xml:space="preserve">          6298 - VEHICLE MILEAGE</v>
      </c>
      <c r="C238" s="11"/>
      <c r="D238" s="2">
        <v>59.89</v>
      </c>
      <c r="E238" s="2"/>
      <c r="F238" s="2"/>
      <c r="G238" s="2"/>
      <c r="H238" s="2"/>
      <c r="I238" s="2"/>
      <c r="J238" s="2"/>
      <c r="K238" s="2"/>
      <c r="L238" s="2"/>
      <c r="M238" s="2"/>
      <c r="N238" s="2">
        <v>25</v>
      </c>
      <c r="O238" s="2">
        <v>25</v>
      </c>
      <c r="P238" s="9"/>
      <c r="Q238" s="2">
        <f>SUM(OSRRefD21_23_2x)+IFERROR(SUM(OSRRefE21_23_2x),0)</f>
        <v>109.89</v>
      </c>
    </row>
    <row r="239" spans="1:17" s="34" customFormat="1" collapsed="1" x14ac:dyDescent="0.25">
      <c r="A239" s="35"/>
      <c r="B239" s="11" t="str">
        <f>CONCATENATE("     ","Utilities                                         ")</f>
        <v xml:space="preserve">     Utilities                                         </v>
      </c>
      <c r="C239" s="11"/>
      <c r="D239" s="1">
        <f>SUM(OSRRefD21_24x_0)</f>
        <v>6161.46</v>
      </c>
      <c r="E239" s="1">
        <f>SUM(OSRRefD21_24x_1)</f>
        <v>6159.91</v>
      </c>
      <c r="F239" s="1">
        <f>SUM(OSRRefD21_24x_2)</f>
        <v>6161.01</v>
      </c>
      <c r="G239" s="1">
        <f>SUM(OSRRefD21_24x_3)</f>
        <v>5953.05</v>
      </c>
      <c r="H239" s="1">
        <f>SUM(OSRRefD21_24x_4)</f>
        <v>6150.38</v>
      </c>
      <c r="I239" s="1">
        <f>SUM(OSRRefD21_24x_5)</f>
        <v>6175.61</v>
      </c>
      <c r="J239" s="1">
        <f>SUM(OSRRefD21_24x_6)</f>
        <v>6165.61</v>
      </c>
      <c r="K239" s="1">
        <f>SUM(OSRRefD21_24x_7)</f>
        <v>6161.14</v>
      </c>
      <c r="L239" s="1">
        <f>SUM(OSRRefD21_24x_8)</f>
        <v>3429.45</v>
      </c>
      <c r="M239" s="1">
        <f>SUM(OSRRefD21_24x_9)</f>
        <v>6161.93</v>
      </c>
      <c r="N239" s="1">
        <f>SUM(OSRRefE21_24x_0)</f>
        <v>6105</v>
      </c>
      <c r="O239" s="1">
        <f>SUM(OSRRefE21_24x_1)</f>
        <v>6105</v>
      </c>
      <c r="Q239" s="2">
        <f>SUM(OSRRefD20_24x)+IFERROR(SUM(OSRRefE20_24x),0)</f>
        <v>70889.549999999988</v>
      </c>
    </row>
    <row r="240" spans="1:17" s="34" customFormat="1" hidden="1" outlineLevel="1" x14ac:dyDescent="0.25">
      <c r="A240" s="35"/>
      <c r="B240" s="10" t="str">
        <f>CONCATENATE("          ","6274", " - ","UTILITIES")</f>
        <v xml:space="preserve">          6274 - UTILITIES</v>
      </c>
      <c r="C240" s="11"/>
      <c r="D240" s="2">
        <v>6161.46</v>
      </c>
      <c r="E240" s="2">
        <v>6159.91</v>
      </c>
      <c r="F240" s="2">
        <v>6161.01</v>
      </c>
      <c r="G240" s="2">
        <v>5953.05</v>
      </c>
      <c r="H240" s="2">
        <v>6150.38</v>
      </c>
      <c r="I240" s="2">
        <v>6175.61</v>
      </c>
      <c r="J240" s="2">
        <v>6165.61</v>
      </c>
      <c r="K240" s="2">
        <v>6161.14</v>
      </c>
      <c r="L240" s="2">
        <v>3429.45</v>
      </c>
      <c r="M240" s="2">
        <v>6161.93</v>
      </c>
      <c r="N240" s="2">
        <v>6105</v>
      </c>
      <c r="O240" s="2">
        <v>6105</v>
      </c>
      <c r="P240" s="9"/>
      <c r="Q240" s="2">
        <f>SUM(OSRRefD21_24_0x)+IFERROR(SUM(OSRRefE21_24_0x),0)</f>
        <v>70889.549999999988</v>
      </c>
    </row>
    <row r="241" spans="1:17" s="30" customFormat="1" x14ac:dyDescent="0.25">
      <c r="A241" s="21"/>
      <c r="B241" s="21"/>
      <c r="C241" s="2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Q241" s="1"/>
    </row>
    <row r="242" spans="1:17" s="9" customFormat="1" x14ac:dyDescent="0.25">
      <c r="A242" s="23"/>
      <c r="B242" s="16" t="s">
        <v>291</v>
      </c>
      <c r="C242" s="22"/>
      <c r="D242" s="3">
        <f>--197497.19</f>
        <v>197497.19</v>
      </c>
      <c r="E242" s="3">
        <f>--56729.3</f>
        <v>56729.3</v>
      </c>
      <c r="F242" s="3">
        <f>--166946.43</f>
        <v>166946.43</v>
      </c>
      <c r="G242" s="3">
        <f>--31945.74</f>
        <v>31945.74</v>
      </c>
      <c r="H242" s="3">
        <f>--72016.7</f>
        <v>72016.7</v>
      </c>
      <c r="I242" s="3">
        <f>--19597.01</f>
        <v>19597.009999999998</v>
      </c>
      <c r="J242" s="3">
        <f>--32275.28</f>
        <v>32275.279999999999</v>
      </c>
      <c r="K242" s="3">
        <f>--197526.4</f>
        <v>197526.39999999999</v>
      </c>
      <c r="L242" s="3">
        <f>--214608.06</f>
        <v>214608.06</v>
      </c>
      <c r="M242" s="3">
        <f>--7587.32</f>
        <v>7587.32</v>
      </c>
      <c r="N242" s="3">
        <v>7296</v>
      </c>
      <c r="O242" s="3">
        <v>222552</v>
      </c>
      <c r="Q242" s="2">
        <f>SUM(OSRRefD23_0x)+IFERROR(SUM(OSRRefE23_0x),0)</f>
        <v>1226577.4300000002</v>
      </c>
    </row>
    <row r="243" spans="1:17" x14ac:dyDescent="0.25">
      <c r="A243" s="5"/>
      <c r="B243" s="6"/>
      <c r="C243" s="6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Q243" s="3"/>
    </row>
    <row r="244" spans="1:17" s="15" customFormat="1" x14ac:dyDescent="0.25">
      <c r="A244" s="6"/>
      <c r="B244" s="17" t="s">
        <v>274</v>
      </c>
      <c r="C244" s="17"/>
      <c r="D244" s="8">
        <f t="shared" ref="D244:O244" si="42">IFERROR(+D142-D145+D242, 0)</f>
        <v>-22600.220000000147</v>
      </c>
      <c r="E244" s="8">
        <f t="shared" si="42"/>
        <v>346578.76000000065</v>
      </c>
      <c r="F244" s="8">
        <f t="shared" si="42"/>
        <v>34339.070000000298</v>
      </c>
      <c r="G244" s="8">
        <f t="shared" si="42"/>
        <v>-213918.0100000001</v>
      </c>
      <c r="H244" s="8">
        <f t="shared" si="42"/>
        <v>-126974.84000000007</v>
      </c>
      <c r="I244" s="8">
        <f t="shared" si="42"/>
        <v>-136975.0799999999</v>
      </c>
      <c r="J244" s="8">
        <f t="shared" si="42"/>
        <v>144899.95000000027</v>
      </c>
      <c r="K244" s="8">
        <f t="shared" si="42"/>
        <v>25728.609999999957</v>
      </c>
      <c r="L244" s="8">
        <f t="shared" si="42"/>
        <v>129482.24999999994</v>
      </c>
      <c r="M244" s="8">
        <f t="shared" si="42"/>
        <v>-12527.759999999958</v>
      </c>
      <c r="N244" s="8">
        <f t="shared" si="42"/>
        <v>-148339.12182432896</v>
      </c>
      <c r="O244" s="8">
        <f t="shared" si="42"/>
        <v>60119.876349008642</v>
      </c>
      <c r="Q244" s="8">
        <f>IFERROR(+Q142-Q145+Q242, 0)</f>
        <v>79813.484524676111</v>
      </c>
    </row>
    <row r="245" spans="1:17" s="6" customFormat="1" x14ac:dyDescent="0.25">
      <c r="B245" s="16"/>
      <c r="C245" s="16"/>
      <c r="D245" s="4">
        <f t="shared" ref="D245:O245" si="43">IFERROR(D244/D10, 0)</f>
        <v>-5.1878878597076884E-2</v>
      </c>
      <c r="E245" s="4">
        <f t="shared" si="43"/>
        <v>0.16592558352185807</v>
      </c>
      <c r="F245" s="4">
        <f t="shared" si="43"/>
        <v>5.4266017928404374E-2</v>
      </c>
      <c r="G245" s="4">
        <f t="shared" si="43"/>
        <v>-0.64250094377214506</v>
      </c>
      <c r="H245" s="4">
        <f t="shared" si="43"/>
        <v>-0.7436125519263006</v>
      </c>
      <c r="I245" s="4">
        <f t="shared" si="43"/>
        <v>-0.43751751985540976</v>
      </c>
      <c r="J245" s="4">
        <f t="shared" si="43"/>
        <v>0.11077846215802623</v>
      </c>
      <c r="K245" s="4">
        <f t="shared" si="43"/>
        <v>6.6178660347056148E-2</v>
      </c>
      <c r="L245" s="4">
        <f t="shared" si="43"/>
        <v>0.21123407743545528</v>
      </c>
      <c r="M245" s="4">
        <f t="shared" si="43"/>
        <v>-1.4883990154850233E-2</v>
      </c>
      <c r="N245" s="4">
        <f t="shared" si="43"/>
        <v>-0.42209006621147871</v>
      </c>
      <c r="O245" s="4">
        <f t="shared" si="43"/>
        <v>0.13096531426840546</v>
      </c>
      <c r="P245" s="18"/>
      <c r="Q245" s="4">
        <f>IFERROR(Q244/Q10, 0)</f>
        <v>1.0057250782134935E-2</v>
      </c>
    </row>
    <row r="246" spans="1:17" x14ac:dyDescent="0.25">
      <c r="A246" s="5"/>
      <c r="B246" s="6"/>
      <c r="C246" s="5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Q246" s="3"/>
    </row>
    <row r="247" spans="1:17" s="15" customFormat="1" x14ac:dyDescent="0.25">
      <c r="A247" s="25"/>
      <c r="B247" s="6" t="s">
        <v>125</v>
      </c>
      <c r="C247" s="6"/>
      <c r="D247" s="3">
        <v>214852.73</v>
      </c>
      <c r="E247" s="3">
        <v>211357.75</v>
      </c>
      <c r="F247" s="3">
        <v>158673.97</v>
      </c>
      <c r="G247" s="3">
        <v>171153.26</v>
      </c>
      <c r="H247" s="3">
        <v>-174329.22</v>
      </c>
      <c r="I247" s="3">
        <v>153558.1</v>
      </c>
      <c r="J247" s="3">
        <v>223551.56</v>
      </c>
      <c r="K247" s="3">
        <v>164193.13</v>
      </c>
      <c r="L247" s="3">
        <v>172012.05</v>
      </c>
      <c r="M247" s="3">
        <v>195644.15</v>
      </c>
      <c r="N247" s="3">
        <v>179261</v>
      </c>
      <c r="O247" s="3">
        <v>215797</v>
      </c>
      <c r="Q247" s="2">
        <f>SUM(OSRRefD28_0x)+IFERROR(SUM(OSRRefE28_0x),0)</f>
        <v>1885725.4799999997</v>
      </c>
    </row>
    <row r="248" spans="1:17" x14ac:dyDescent="0.25">
      <c r="A248" s="5"/>
      <c r="B248" s="6"/>
      <c r="C248" s="6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Q248" s="3"/>
    </row>
    <row r="249" spans="1:17" s="15" customFormat="1" ht="15.75" thickBot="1" x14ac:dyDescent="0.3">
      <c r="A249" s="6"/>
      <c r="B249" s="17" t="s">
        <v>124</v>
      </c>
      <c r="C249" s="17"/>
      <c r="D249" s="7">
        <f t="shared" ref="D249:O249" si="44">IFERROR(+D244-D247, 0)</f>
        <v>-237452.95000000016</v>
      </c>
      <c r="E249" s="7">
        <f t="shared" si="44"/>
        <v>135221.01000000065</v>
      </c>
      <c r="F249" s="7">
        <f t="shared" si="44"/>
        <v>-124334.8999999997</v>
      </c>
      <c r="G249" s="7">
        <f t="shared" si="44"/>
        <v>-385071.27000000014</v>
      </c>
      <c r="H249" s="7">
        <f t="shared" si="44"/>
        <v>47354.379999999932</v>
      </c>
      <c r="I249" s="7">
        <f t="shared" si="44"/>
        <v>-290533.17999999993</v>
      </c>
      <c r="J249" s="7">
        <f t="shared" si="44"/>
        <v>-78651.609999999724</v>
      </c>
      <c r="K249" s="7">
        <f t="shared" si="44"/>
        <v>-138464.52000000005</v>
      </c>
      <c r="L249" s="7">
        <f t="shared" si="44"/>
        <v>-42529.800000000047</v>
      </c>
      <c r="M249" s="7">
        <f t="shared" si="44"/>
        <v>-208171.90999999995</v>
      </c>
      <c r="N249" s="7">
        <f t="shared" si="44"/>
        <v>-327600.12182432896</v>
      </c>
      <c r="O249" s="7">
        <f t="shared" si="44"/>
        <v>-155677.12365099136</v>
      </c>
      <c r="Q249" s="7">
        <f>IFERROR(+Q244-Q247, 0)</f>
        <v>-1805911.9954753236</v>
      </c>
    </row>
    <row r="250" spans="1:17" ht="15.75" thickTop="1" x14ac:dyDescent="0.25">
      <c r="A250" s="5"/>
      <c r="B250" s="5"/>
      <c r="C250" s="5"/>
      <c r="D250" s="4">
        <f t="shared" ref="D250:O250" si="45">IFERROR(D249/D10, 0)</f>
        <v>-0.54507401987979309</v>
      </c>
      <c r="E250" s="4">
        <f t="shared" si="45"/>
        <v>6.4737449544412573E-2</v>
      </c>
      <c r="F250" s="4">
        <f t="shared" si="45"/>
        <v>-0.19648639035728954</v>
      </c>
      <c r="G250" s="4">
        <f t="shared" si="45"/>
        <v>-1.156558320613297</v>
      </c>
      <c r="H250" s="4">
        <f t="shared" si="45"/>
        <v>0.27732510910577007</v>
      </c>
      <c r="I250" s="4">
        <f t="shared" si="45"/>
        <v>-0.92800351968624806</v>
      </c>
      <c r="J250" s="4">
        <f t="shared" si="45"/>
        <v>-6.0130485911505077E-2</v>
      </c>
      <c r="K250" s="4">
        <f t="shared" si="45"/>
        <v>-0.35615590734198943</v>
      </c>
      <c r="L250" s="4">
        <f t="shared" si="45"/>
        <v>-6.9382043226113535E-2</v>
      </c>
      <c r="M250" s="4">
        <f t="shared" si="45"/>
        <v>-0.24732503328259628</v>
      </c>
      <c r="N250" s="4">
        <f t="shared" si="45"/>
        <v>-0.93216648050184725</v>
      </c>
      <c r="O250" s="4">
        <f t="shared" si="45"/>
        <v>-0.33912750094486344</v>
      </c>
      <c r="P250" s="18"/>
      <c r="Q250" s="4">
        <f>IFERROR(Q249/Q10, 0)</f>
        <v>-0.22756192060936417</v>
      </c>
    </row>
    <row r="251" spans="1:17" x14ac:dyDescent="0.25">
      <c r="A251" s="5"/>
      <c r="B251" s="5"/>
      <c r="C251" s="5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Q251" s="3"/>
    </row>
    <row r="252" spans="1:17" x14ac:dyDescent="0.25">
      <c r="A252" s="5"/>
      <c r="B252" s="5"/>
      <c r="C252" s="5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Q252" s="3"/>
    </row>
    <row r="253" spans="1:17" s="15" customFormat="1" ht="15.75" thickBot="1" x14ac:dyDescent="0.3">
      <c r="A253" s="6"/>
      <c r="B253" s="17" t="s">
        <v>292</v>
      </c>
      <c r="C253" s="17"/>
      <c r="D253" s="7">
        <f t="shared" ref="D253:O253" si="46">IFERROR(SUM(D249:D252), 0)</f>
        <v>-237453.49507402003</v>
      </c>
      <c r="E253" s="7">
        <f t="shared" si="46"/>
        <v>135221.0747374502</v>
      </c>
      <c r="F253" s="7">
        <f t="shared" si="46"/>
        <v>-124335.09648639006</v>
      </c>
      <c r="G253" s="7">
        <f t="shared" si="46"/>
        <v>-385072.42655832076</v>
      </c>
      <c r="H253" s="7">
        <f t="shared" si="46"/>
        <v>47354.657325109038</v>
      </c>
      <c r="I253" s="7">
        <f t="shared" si="46"/>
        <v>-290534.10800351965</v>
      </c>
      <c r="J253" s="7">
        <f t="shared" si="46"/>
        <v>-78651.67013048564</v>
      </c>
      <c r="K253" s="7">
        <f t="shared" si="46"/>
        <v>-138464.87615590738</v>
      </c>
      <c r="L253" s="7">
        <f t="shared" si="46"/>
        <v>-42529.869382043275</v>
      </c>
      <c r="M253" s="7">
        <f t="shared" si="46"/>
        <v>-208172.15732503321</v>
      </c>
      <c r="N253" s="7">
        <f t="shared" si="46"/>
        <v>-327601.05399080948</v>
      </c>
      <c r="O253" s="7">
        <f t="shared" si="46"/>
        <v>-155677.46277849231</v>
      </c>
      <c r="Q253" s="7">
        <f>IFERROR(SUM(Q249:Q252), 0)</f>
        <v>-1805912.2230372443</v>
      </c>
    </row>
    <row r="254" spans="1:17" ht="15.75" thickTop="1" x14ac:dyDescent="0.25">
      <c r="A254" s="5"/>
      <c r="C254" s="5"/>
      <c r="D254" s="4">
        <f t="shared" ref="D254:O254" si="47">IFERROR(D253/D10, 0)</f>
        <v>-0.54507527109898046</v>
      </c>
      <c r="E254" s="4">
        <f t="shared" si="47"/>
        <v>6.4737480537653727E-2</v>
      </c>
      <c r="F254" s="4">
        <f t="shared" si="47"/>
        <v>-0.19648670086464987</v>
      </c>
      <c r="G254" s="4">
        <f t="shared" si="47"/>
        <v>-1.1565617943264852</v>
      </c>
      <c r="H254" s="4">
        <f t="shared" si="47"/>
        <v>0.27732673322620288</v>
      </c>
      <c r="I254" s="4">
        <f t="shared" si="47"/>
        <v>-0.92800648385898932</v>
      </c>
      <c r="J254" s="4">
        <f t="shared" si="47"/>
        <v>-6.0130531882278418E-2</v>
      </c>
      <c r="K254" s="4">
        <f t="shared" si="47"/>
        <v>-0.35615682343970406</v>
      </c>
      <c r="L254" s="4">
        <f t="shared" si="47"/>
        <v>-6.9382156414229221E-2</v>
      </c>
      <c r="M254" s="4">
        <f t="shared" si="47"/>
        <v>-0.24732532712470054</v>
      </c>
      <c r="N254" s="4">
        <f t="shared" si="47"/>
        <v>-0.93216913292560877</v>
      </c>
      <c r="O254" s="4">
        <f t="shared" si="47"/>
        <v>-0.33912823970120221</v>
      </c>
      <c r="P254" s="18"/>
      <c r="Q254" s="4">
        <f>IFERROR(Q253/Q10, 0)</f>
        <v>-0.22756194928430951</v>
      </c>
    </row>
    <row r="255" spans="1:17" x14ac:dyDescent="0.25">
      <c r="A255" s="5"/>
      <c r="B255" s="27">
        <v>44330.012719791666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Q255" s="13"/>
    </row>
    <row r="256" spans="1:17" x14ac:dyDescent="0.25">
      <c r="A256" s="5"/>
      <c r="B256" s="31" t="s">
        <v>54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Q256" s="13"/>
    </row>
    <row r="257" spans="1:17" x14ac:dyDescent="0.25">
      <c r="A257" s="5"/>
      <c r="B257" s="26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Q257" s="13"/>
    </row>
    <row r="258" spans="1:17" x14ac:dyDescent="0.25"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Q25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3"/>
      <c r="B12" s="16" t="s">
        <v>217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0</v>
      </c>
      <c r="M12" s="3">
        <f>SUM(OSRRefD14x_9)</f>
        <v>0</v>
      </c>
      <c r="N12" s="3">
        <f>SUM(OSRRefE14x_0)</f>
        <v>0</v>
      </c>
      <c r="O12" s="3">
        <f>SUM(OSRRefE14x_1)</f>
        <v>0</v>
      </c>
      <c r="Q12" s="3">
        <f>SUM(OSRRefG14x)</f>
        <v>0</v>
      </c>
    </row>
    <row r="13" spans="1:18" s="9" customFormat="1" hidden="1" outlineLevel="1" x14ac:dyDescent="0.25">
      <c r="A13" s="23"/>
      <c r="B13" s="10" t="str">
        <f>CONCATENATE("          ","5501", " - ","FREIGHT-IN-NEW TEXT")</f>
        <v xml:space="preserve">          5501 - FREIGHT-IN-NEW TEXT</v>
      </c>
      <c r="C13" s="22"/>
      <c r="D13" s="2"/>
      <c r="E13" s="2"/>
      <c r="F13" s="2"/>
      <c r="G13" s="2"/>
      <c r="H13" s="2"/>
      <c r="I13" s="2"/>
      <c r="J13" s="2"/>
      <c r="K13" s="2"/>
      <c r="L13" s="2"/>
      <c r="M13" s="2">
        <v>0</v>
      </c>
      <c r="N13" s="2"/>
      <c r="O13" s="2"/>
      <c r="Q13" s="2">
        <f>SUM(OSRRefD14_0x)+IFERROR(SUM(OSRRefE14_0x),0)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0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254</v>
      </c>
      <c r="C18" s="6"/>
      <c r="D18" s="14">
        <f>SUM(OSRRefD20x_0)</f>
        <v>165416.69999999998</v>
      </c>
      <c r="E18" s="14">
        <f>SUM(OSRRefD20x_1)</f>
        <v>141962.65999999997</v>
      </c>
      <c r="F18" s="14">
        <f>SUM(OSRRefD20x_2)</f>
        <v>109225.67999999996</v>
      </c>
      <c r="G18" s="14">
        <f>SUM(OSRRefD20x_3)</f>
        <v>118485.46999999997</v>
      </c>
      <c r="H18" s="14">
        <f>SUM(OSRRefD20x_4)</f>
        <v>96301.599999999977</v>
      </c>
      <c r="I18" s="14">
        <f>SUM(OSRRefD20x_5)</f>
        <v>101696.03</v>
      </c>
      <c r="J18" s="14">
        <f>SUM(OSRRefD20x_6)</f>
        <v>142959.37</v>
      </c>
      <c r="K18" s="14">
        <f>SUM(OSRRefD20x_7)</f>
        <v>123498.39</v>
      </c>
      <c r="L18" s="14">
        <f>SUM(OSRRefD20x_8)</f>
        <v>95870.02</v>
      </c>
      <c r="M18" s="14">
        <f>SUM(OSRRefD20x_9)</f>
        <v>106222.93</v>
      </c>
      <c r="N18" s="14">
        <f>SUM(OSRRefE20x_0)</f>
        <v>108589.94645733846</v>
      </c>
      <c r="O18" s="14">
        <f>SUM(OSRRefE20x_1)</f>
        <v>98380.008939138468</v>
      </c>
      <c r="Q18" s="14">
        <f>SUM(OSRRefG20x)</f>
        <v>1408608.8053964768</v>
      </c>
    </row>
    <row r="19" spans="1:17" s="34" customFormat="1" collapsed="1" x14ac:dyDescent="0.25">
      <c r="A19" s="35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8516.33</v>
      </c>
      <c r="E19" s="1">
        <f>SUM(OSRRefD21_0x_1)</f>
        <v>9570.6299999999992</v>
      </c>
      <c r="F19" s="1">
        <f>SUM(OSRRefD21_0x_2)</f>
        <v>7682.21</v>
      </c>
      <c r="G19" s="1">
        <f>SUM(OSRRefD21_0x_3)</f>
        <v>9035.86</v>
      </c>
      <c r="H19" s="1">
        <f>SUM(OSRRefD21_0x_4)</f>
        <v>7735.4699999999993</v>
      </c>
      <c r="I19" s="1">
        <f>SUM(OSRRefD21_0x_5)</f>
        <v>8093.39</v>
      </c>
      <c r="J19" s="1">
        <f>SUM(OSRRefD21_0x_6)</f>
        <v>12177.93</v>
      </c>
      <c r="K19" s="1">
        <f>SUM(OSRRefD21_0x_7)</f>
        <v>11356.98</v>
      </c>
      <c r="L19" s="1">
        <f>SUM(OSRRefD21_0x_8)</f>
        <v>11134.78</v>
      </c>
      <c r="M19" s="1">
        <f>SUM(OSRRefD21_0x_9)</f>
        <v>13022.909999999998</v>
      </c>
      <c r="N19" s="1">
        <f>SUM(OSRRefE21_0x_0)</f>
        <v>10599.038611184615</v>
      </c>
      <c r="O19" s="1">
        <f>SUM(OSRRefE21_0x_1)</f>
        <v>11193.811092984615</v>
      </c>
      <c r="Q19" s="2">
        <f>SUM(OSRRefD20_0x)+IFERROR(SUM(OSRRefE20_0x),0)</f>
        <v>120119.33970416924</v>
      </c>
    </row>
    <row r="20" spans="1:17" s="34" customFormat="1" hidden="1" outlineLevel="1" x14ac:dyDescent="0.25">
      <c r="A20" s="35"/>
      <c r="B20" s="10" t="str">
        <f>CONCATENATE("          ","6111", " - ","F.I.C.A.")</f>
        <v xml:space="preserve">          6111 - F.I.C.A.</v>
      </c>
      <c r="C20" s="11"/>
      <c r="D20" s="2">
        <v>2247.02</v>
      </c>
      <c r="E20" s="2">
        <v>4014.83</v>
      </c>
      <c r="F20" s="2">
        <v>2054.27</v>
      </c>
      <c r="G20" s="2">
        <v>3527.98</v>
      </c>
      <c r="H20" s="2">
        <v>1393.44</v>
      </c>
      <c r="I20" s="2">
        <v>1775.58</v>
      </c>
      <c r="J20" s="2">
        <v>2086.96</v>
      </c>
      <c r="K20" s="2">
        <v>2042.25</v>
      </c>
      <c r="L20" s="2">
        <v>1737.13</v>
      </c>
      <c r="M20" s="2">
        <v>2383.34</v>
      </c>
      <c r="N20" s="2">
        <v>1855.03939818462</v>
      </c>
      <c r="O20" s="2">
        <v>2664.0196609846198</v>
      </c>
      <c r="P20" s="9"/>
      <c r="Q20" s="2">
        <f>SUM(OSRRefD21_0_0x)+IFERROR(SUM(OSRRefE21_0_0x),0)</f>
        <v>27781.859059169241</v>
      </c>
    </row>
    <row r="21" spans="1:17" s="34" customFormat="1" hidden="1" outlineLevel="1" x14ac:dyDescent="0.25">
      <c r="A21" s="35"/>
      <c r="B21" s="10" t="str">
        <f>CONCATENATE("          ","6112", " - ","COMPENSATION INSURANCE")</f>
        <v xml:space="preserve">          6112 - COMPENSATION INSURANCE</v>
      </c>
      <c r="C21" s="11"/>
      <c r="D21" s="2">
        <v>747.02</v>
      </c>
      <c r="E21" s="2">
        <v>831.57</v>
      </c>
      <c r="F21" s="2">
        <v>859.27</v>
      </c>
      <c r="G21" s="2">
        <v>508.93</v>
      </c>
      <c r="H21" s="2">
        <v>841.14</v>
      </c>
      <c r="I21" s="2">
        <v>841.14</v>
      </c>
      <c r="J21" s="2">
        <v>602.88</v>
      </c>
      <c r="K21" s="2">
        <v>626.67999999999995</v>
      </c>
      <c r="L21" s="2">
        <v>555.75</v>
      </c>
      <c r="M21" s="2">
        <v>459.67</v>
      </c>
      <c r="N21" s="2">
        <v>771.41013961538499</v>
      </c>
      <c r="O21" s="2">
        <v>643.98750461538498</v>
      </c>
      <c r="P21" s="9"/>
      <c r="Q21" s="2">
        <f>SUM(OSRRefD21_0_1x)+IFERROR(SUM(OSRRefE21_0_1x),0)</f>
        <v>8289.4476442307696</v>
      </c>
    </row>
    <row r="22" spans="1:17" s="34" customFormat="1" hidden="1" outlineLevel="1" x14ac:dyDescent="0.25">
      <c r="A22" s="35"/>
      <c r="B22" s="10" t="str">
        <f>CONCATENATE("          ","6113", " - ","GROUP INSURANCE")</f>
        <v xml:space="preserve">          6113 - GROUP INSURANCE</v>
      </c>
      <c r="C22" s="11"/>
      <c r="D22" s="2">
        <v>1657.39</v>
      </c>
      <c r="E22" s="2">
        <v>1722.33</v>
      </c>
      <c r="F22" s="2">
        <v>1567.82</v>
      </c>
      <c r="G22" s="2">
        <v>1588.12</v>
      </c>
      <c r="H22" s="2">
        <v>1588.12</v>
      </c>
      <c r="I22" s="2">
        <v>1727.95</v>
      </c>
      <c r="J22" s="2">
        <v>5096.28</v>
      </c>
      <c r="K22" s="2">
        <v>5096.28</v>
      </c>
      <c r="L22" s="2">
        <v>5096.28</v>
      </c>
      <c r="M22" s="2">
        <v>5096.28</v>
      </c>
      <c r="N22" s="2">
        <v>4671.3461538461497</v>
      </c>
      <c r="O22" s="2">
        <v>4671.3461538461497</v>
      </c>
      <c r="P22" s="9"/>
      <c r="Q22" s="2">
        <f>SUM(OSRRefD21_0_2x)+IFERROR(SUM(OSRRefE21_0_2x),0)</f>
        <v>39579.542307692296</v>
      </c>
    </row>
    <row r="23" spans="1:17" s="34" customFormat="1" hidden="1" outlineLevel="1" x14ac:dyDescent="0.25">
      <c r="A23" s="35"/>
      <c r="B23" s="10" t="str">
        <f>CONCATENATE("          ","6114", " - ","STATE UNEMPLOYMENT INSURANCE")</f>
        <v xml:space="preserve">          6114 - STATE UNEMPLOYMENT INSURANCE</v>
      </c>
      <c r="C23" s="11"/>
      <c r="D23" s="2">
        <v>105</v>
      </c>
      <c r="E23" s="2">
        <v>140.86000000000001</v>
      </c>
      <c r="F23" s="2">
        <v>128.83000000000001</v>
      </c>
      <c r="G23" s="2">
        <v>80.37</v>
      </c>
      <c r="H23" s="2">
        <v>144.61000000000001</v>
      </c>
      <c r="I23" s="2"/>
      <c r="J23" s="2">
        <v>220.75</v>
      </c>
      <c r="K23" s="2">
        <v>96.97</v>
      </c>
      <c r="L23" s="2">
        <v>87.01</v>
      </c>
      <c r="M23" s="2">
        <v>64.599999999999994</v>
      </c>
      <c r="N23" s="2">
        <v>108.41439800000001</v>
      </c>
      <c r="O23" s="2">
        <v>90.506352000000007</v>
      </c>
      <c r="P23" s="9"/>
      <c r="Q23" s="2">
        <f>SUM(OSRRefD21_0_3x)+IFERROR(SUM(OSRRefE21_0_3x),0)</f>
        <v>1267.92075</v>
      </c>
    </row>
    <row r="24" spans="1:17" s="34" customFormat="1" hidden="1" outlineLevel="1" x14ac:dyDescent="0.25">
      <c r="A24" s="35"/>
      <c r="B24" s="10" t="str">
        <f>CONCATENATE("          ","6115", " - ","P.E.R.S.")</f>
        <v xml:space="preserve">          6115 - P.E.R.S.</v>
      </c>
      <c r="C24" s="11"/>
      <c r="D24" s="2">
        <v>1359.34</v>
      </c>
      <c r="E24" s="2">
        <v>1171.6300000000001</v>
      </c>
      <c r="F24" s="2">
        <v>1171.6300000000001</v>
      </c>
      <c r="G24" s="2">
        <v>983.12</v>
      </c>
      <c r="H24" s="2">
        <v>1850.14</v>
      </c>
      <c r="I24" s="2">
        <v>1371.62</v>
      </c>
      <c r="J24" s="2">
        <v>1561.41</v>
      </c>
      <c r="K24" s="2">
        <v>1040.94</v>
      </c>
      <c r="L24" s="2">
        <v>1040.94</v>
      </c>
      <c r="M24" s="2">
        <v>1012.09</v>
      </c>
      <c r="N24" s="2">
        <v>1181.5862830769199</v>
      </c>
      <c r="O24" s="2">
        <v>1181.5862830769199</v>
      </c>
      <c r="P24" s="9"/>
      <c r="Q24" s="2">
        <f>SUM(OSRRefD21_0_4x)+IFERROR(SUM(OSRRefE21_0_4x),0)</f>
        <v>14926.032566153843</v>
      </c>
    </row>
    <row r="25" spans="1:17" s="34" customFormat="1" hidden="1" outlineLevel="1" x14ac:dyDescent="0.25">
      <c r="A25" s="35"/>
      <c r="B25" s="10" t="str">
        <f>CONCATENATE("          ","6116", " - ","EDUCATIONAL BENEFITS")</f>
        <v xml:space="preserve">          6116 - EDUCATIONAL BENEFITS</v>
      </c>
      <c r="C25" s="11"/>
      <c r="D25" s="2">
        <v>401.9</v>
      </c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SUM(OSRRefD21_0_5x)+IFERROR(SUM(OSRRefE21_0_5x),0)</f>
        <v>401.9</v>
      </c>
    </row>
    <row r="26" spans="1:17" s="34" customFormat="1" hidden="1" outlineLevel="1" x14ac:dyDescent="0.25">
      <c r="A26" s="35"/>
      <c r="B26" s="10" t="str">
        <f>CONCATENATE("          ","6117", " - ","RETIREMENT STAFF HOURLY")</f>
        <v xml:space="preserve">          6117 - RETIREMENT STAFF HOURLY</v>
      </c>
      <c r="C26" s="11"/>
      <c r="D26" s="2"/>
      <c r="E26" s="2"/>
      <c r="F26" s="2"/>
      <c r="G26" s="2"/>
      <c r="H26" s="2"/>
      <c r="I26" s="2">
        <v>189.96</v>
      </c>
      <c r="J26" s="2">
        <v>209</v>
      </c>
      <c r="K26" s="2">
        <v>210.48</v>
      </c>
      <c r="L26" s="2">
        <v>282.24</v>
      </c>
      <c r="M26" s="2">
        <v>113.47</v>
      </c>
      <c r="N26" s="2"/>
      <c r="O26" s="2"/>
      <c r="P26" s="9"/>
      <c r="Q26" s="2">
        <f>SUM(OSRRefD21_0_6x)+IFERROR(SUM(OSRRefE21_0_6x),0)</f>
        <v>1005.1500000000001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1"/>
      <c r="D27" s="2">
        <v>1161.98</v>
      </c>
      <c r="E27" s="2">
        <v>982.38</v>
      </c>
      <c r="F27" s="2">
        <v>982.38</v>
      </c>
      <c r="G27" s="2">
        <v>1208.8800000000001</v>
      </c>
      <c r="H27" s="2">
        <v>1008.09</v>
      </c>
      <c r="I27" s="2">
        <v>1231.6600000000001</v>
      </c>
      <c r="J27" s="2">
        <v>1307.48</v>
      </c>
      <c r="K27" s="2">
        <v>1188.92</v>
      </c>
      <c r="L27" s="2">
        <v>1261.27</v>
      </c>
      <c r="M27" s="2">
        <v>1868.38</v>
      </c>
      <c r="N27" s="2">
        <v>891.088769230769</v>
      </c>
      <c r="O27" s="2">
        <v>891.088769230769</v>
      </c>
      <c r="P27" s="9"/>
      <c r="Q27" s="2">
        <f>SUM(OSRRefD21_0_7x)+IFERROR(SUM(OSRRefE21_0_7x),0)</f>
        <v>13983.597538461539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1"/>
      <c r="D28" s="2">
        <v>758.33</v>
      </c>
      <c r="E28" s="2">
        <v>616.29</v>
      </c>
      <c r="F28" s="2">
        <v>616.29</v>
      </c>
      <c r="G28" s="2">
        <v>924.44</v>
      </c>
      <c r="H28" s="2">
        <v>712.99</v>
      </c>
      <c r="I28" s="2">
        <v>809.69</v>
      </c>
      <c r="J28" s="2">
        <v>832.35</v>
      </c>
      <c r="K28" s="2">
        <v>832.35</v>
      </c>
      <c r="L28" s="2">
        <v>832.35</v>
      </c>
      <c r="M28" s="2">
        <v>1679.98</v>
      </c>
      <c r="N28" s="2">
        <v>1120.15346923077</v>
      </c>
      <c r="O28" s="2">
        <v>1051.2763692307699</v>
      </c>
      <c r="P28" s="9"/>
      <c r="Q28" s="2">
        <f>SUM(OSRRefD21_0_8x)+IFERROR(SUM(OSRRefE21_0_8x),0)</f>
        <v>10786.489838461541</v>
      </c>
    </row>
    <row r="29" spans="1:17" s="34" customFormat="1" hidden="1" outlineLevel="1" x14ac:dyDescent="0.25">
      <c r="A29" s="35"/>
      <c r="B29" s="10" t="str">
        <f>CONCATENATE("          ","6156", " - ","EMPLOYEE MEALS")</f>
        <v xml:space="preserve">          6156 - EMPLOYEE MEALS</v>
      </c>
      <c r="C29" s="11"/>
      <c r="D29" s="2">
        <v>78.349999999999994</v>
      </c>
      <c r="E29" s="2">
        <v>90.74</v>
      </c>
      <c r="F29" s="2">
        <v>301.72000000000003</v>
      </c>
      <c r="G29" s="2">
        <v>214.02</v>
      </c>
      <c r="H29" s="2">
        <v>196.94</v>
      </c>
      <c r="I29" s="2">
        <v>145.79</v>
      </c>
      <c r="J29" s="2">
        <v>260.82</v>
      </c>
      <c r="K29" s="2">
        <v>222.11</v>
      </c>
      <c r="L29" s="2">
        <v>241.81</v>
      </c>
      <c r="M29" s="2">
        <v>345.1</v>
      </c>
      <c r="N29" s="2"/>
      <c r="O29" s="2"/>
      <c r="P29" s="9"/>
      <c r="Q29" s="2">
        <f>SUM(OSRRefD21_0_9x)+IFERROR(SUM(OSRRefE21_0_9x),0)</f>
        <v>2097.3999999999996</v>
      </c>
    </row>
    <row r="30" spans="1:17" s="34" customFormat="1" collapsed="1" x14ac:dyDescent="0.25">
      <c r="A30" s="35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43822.61</v>
      </c>
      <c r="E30" s="1">
        <f>SUM(OSRRefD21_1x_1)</f>
        <v>65252.41</v>
      </c>
      <c r="F30" s="1">
        <f>SUM(OSRRefD21_1x_2)</f>
        <v>38537.11</v>
      </c>
      <c r="G30" s="1">
        <f>SUM(OSRRefD21_1x_3)</f>
        <v>34017.49</v>
      </c>
      <c r="H30" s="1">
        <f>SUM(OSRRefD21_1x_4)</f>
        <v>26933.769999999997</v>
      </c>
      <c r="I30" s="1">
        <f>SUM(OSRRefD21_1x_5)</f>
        <v>39622.089999999997</v>
      </c>
      <c r="J30" s="1">
        <f>SUM(OSRRefD21_1x_6)</f>
        <v>60404.84</v>
      </c>
      <c r="K30" s="1">
        <f>SUM(OSRRefD21_1x_7)</f>
        <v>35013.24</v>
      </c>
      <c r="L30" s="1">
        <f>SUM(OSRRefD21_1x_8)</f>
        <v>34369.06</v>
      </c>
      <c r="M30" s="1">
        <f>SUM(OSRRefD21_1x_9)</f>
        <v>36731.760000000002</v>
      </c>
      <c r="N30" s="1">
        <f>SUM(OSRRefE21_1x_0)</f>
        <v>40131.907846153852</v>
      </c>
      <c r="O30" s="1">
        <f>SUM(OSRRefE21_1x_1)</f>
        <v>33244.197846153853</v>
      </c>
      <c r="Q30" s="2">
        <f>SUM(OSRRefD20_1x)+IFERROR(SUM(OSRRefE20_1x),0)</f>
        <v>488080.48569230764</v>
      </c>
    </row>
    <row r="31" spans="1:17" s="34" customFormat="1" hidden="1" outlineLevel="1" x14ac:dyDescent="0.25">
      <c r="A31" s="35"/>
      <c r="B31" s="10" t="str">
        <f>CONCATENATE("          ","6001", " - ","ADMINISTRATIVE SALARIES")</f>
        <v xml:space="preserve">          6001 - ADMINISTRATIVE SALARIES</v>
      </c>
      <c r="C31" s="11"/>
      <c r="D31" s="2">
        <v>4837.17</v>
      </c>
      <c r="E31" s="2">
        <v>4205.74</v>
      </c>
      <c r="F31" s="2">
        <v>4205.74</v>
      </c>
      <c r="G31" s="2">
        <v>4205.17</v>
      </c>
      <c r="H31" s="2">
        <v>3995.45</v>
      </c>
      <c r="I31" s="2">
        <v>3745.16</v>
      </c>
      <c r="J31" s="2">
        <v>5332.74</v>
      </c>
      <c r="K31" s="2">
        <v>4280.74</v>
      </c>
      <c r="L31" s="2">
        <v>4279.74</v>
      </c>
      <c r="M31" s="2">
        <v>4416.46</v>
      </c>
      <c r="N31" s="2">
        <v>3807.6923076923099</v>
      </c>
      <c r="O31" s="2">
        <v>3807.6923076923099</v>
      </c>
      <c r="P31" s="9"/>
      <c r="Q31" s="2">
        <f>SUM(OSRRefD21_1_0x)+IFERROR(SUM(OSRRefE21_1_0x),0)</f>
        <v>51119.49461538461</v>
      </c>
    </row>
    <row r="32" spans="1:17" s="34" customFormat="1" hidden="1" outlineLevel="1" x14ac:dyDescent="0.25">
      <c r="A32" s="35"/>
      <c r="B32" s="10" t="str">
        <f>CONCATENATE("          ","6002", " - ","STAFF SALARIES")</f>
        <v xml:space="preserve">          6002 - STAFF SALARIES</v>
      </c>
      <c r="C32" s="11"/>
      <c r="D32" s="2">
        <v>8856.2999999999993</v>
      </c>
      <c r="E32" s="2">
        <v>9219.92</v>
      </c>
      <c r="F32" s="2">
        <v>8712.9599999999991</v>
      </c>
      <c r="G32" s="2">
        <v>8985.19</v>
      </c>
      <c r="H32" s="2">
        <v>7220.99</v>
      </c>
      <c r="I32" s="2">
        <v>9294.73</v>
      </c>
      <c r="J32" s="2">
        <v>11452.71</v>
      </c>
      <c r="K32" s="2">
        <v>9336.56</v>
      </c>
      <c r="L32" s="2">
        <v>9584.6299999999992</v>
      </c>
      <c r="M32" s="2">
        <v>11599.1</v>
      </c>
      <c r="N32" s="2">
        <v>8557.7455384615405</v>
      </c>
      <c r="O32" s="2">
        <v>8557.7455384615405</v>
      </c>
      <c r="P32" s="9"/>
      <c r="Q32" s="2">
        <f>SUM(OSRRefD21_1_1x)+IFERROR(SUM(OSRRefE21_1_1x),0)</f>
        <v>111378.58107692309</v>
      </c>
    </row>
    <row r="33" spans="1:17" s="34" customFormat="1" hidden="1" outlineLevel="1" x14ac:dyDescent="0.25">
      <c r="A33" s="35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0" t="str">
        <f>CONCATENATE("          ","6004", " - ","STAFF HOURLY")</f>
        <v xml:space="preserve">          6004 - STAFF HOURLY</v>
      </c>
      <c r="C34" s="11"/>
      <c r="D34" s="2">
        <v>3465.6</v>
      </c>
      <c r="E34" s="2"/>
      <c r="F34" s="2"/>
      <c r="G34" s="2"/>
      <c r="H34" s="2">
        <v>1330.8</v>
      </c>
      <c r="I34" s="2">
        <v>4510.4799999999996</v>
      </c>
      <c r="J34" s="2">
        <v>7157.45</v>
      </c>
      <c r="K34" s="2">
        <v>5911.76</v>
      </c>
      <c r="L34" s="2">
        <v>2986.56</v>
      </c>
      <c r="M34" s="2">
        <v>3582.6</v>
      </c>
      <c r="N34" s="2">
        <v>10308</v>
      </c>
      <c r="O34" s="2">
        <v>10308</v>
      </c>
      <c r="P34" s="9"/>
      <c r="Q34" s="2">
        <f>SUM(OSRRefD21_1_3x)+IFERROR(SUM(OSRRefE21_1_3x),0)</f>
        <v>49561.25</v>
      </c>
    </row>
    <row r="35" spans="1:17" s="34" customFormat="1" hidden="1" outlineLevel="1" x14ac:dyDescent="0.25">
      <c r="A35" s="35"/>
      <c r="B35" s="10" t="str">
        <f>CONCATENATE("          ","6005", " - ","TEMPORARY WAGES-HOURLY")</f>
        <v xml:space="preserve">          6005 - TEMPORARY WAGES-HOURLY</v>
      </c>
      <c r="C35" s="11"/>
      <c r="D35" s="2">
        <v>8462.1</v>
      </c>
      <c r="E35" s="2">
        <v>11519.7</v>
      </c>
      <c r="F35" s="2">
        <v>11632.72</v>
      </c>
      <c r="G35" s="2">
        <v>9472.0499999999993</v>
      </c>
      <c r="H35" s="2">
        <v>2492.1799999999998</v>
      </c>
      <c r="I35" s="2">
        <v>3938.93</v>
      </c>
      <c r="J35" s="2">
        <v>6800.16</v>
      </c>
      <c r="K35" s="2">
        <v>6009.35</v>
      </c>
      <c r="L35" s="2">
        <v>4979.6000000000004</v>
      </c>
      <c r="M35" s="2">
        <v>6095.59</v>
      </c>
      <c r="N35" s="2">
        <v>0</v>
      </c>
      <c r="O35" s="2">
        <v>0</v>
      </c>
      <c r="P35" s="9"/>
      <c r="Q35" s="2">
        <f>SUM(OSRRefD21_1_4x)+IFERROR(SUM(OSRRefE21_1_4x),0)</f>
        <v>71402.38</v>
      </c>
    </row>
    <row r="36" spans="1:17" s="34" customFormat="1" hidden="1" outlineLevel="1" x14ac:dyDescent="0.25">
      <c r="A36" s="35"/>
      <c r="B36" s="10" t="str">
        <f>CONCATENATE("          ","6006", " - ","TEMPORARY PART TIME")</f>
        <v xml:space="preserve">          6006 - TEMPORARY PART TIME</v>
      </c>
      <c r="C36" s="11"/>
      <c r="D36" s="2">
        <v>1545.92</v>
      </c>
      <c r="E36" s="2">
        <v>1927.34</v>
      </c>
      <c r="F36" s="2">
        <v>1728.86</v>
      </c>
      <c r="G36" s="2">
        <v>1802.76</v>
      </c>
      <c r="H36" s="2">
        <v>1048.44</v>
      </c>
      <c r="I36" s="2">
        <v>1432.35</v>
      </c>
      <c r="J36" s="2"/>
      <c r="K36" s="2">
        <v>748.02</v>
      </c>
      <c r="L36" s="2">
        <v>546.70000000000005</v>
      </c>
      <c r="M36" s="2">
        <v>686</v>
      </c>
      <c r="N36" s="2">
        <v>0</v>
      </c>
      <c r="O36" s="2">
        <v>0</v>
      </c>
      <c r="P36" s="9"/>
      <c r="Q36" s="2">
        <f>SUM(OSRRefD21_1_5x)+IFERROR(SUM(OSRRefE21_1_5x),0)</f>
        <v>11466.390000000001</v>
      </c>
    </row>
    <row r="37" spans="1:17" s="34" customFormat="1" hidden="1" outlineLevel="1" x14ac:dyDescent="0.25">
      <c r="A37" s="35"/>
      <c r="B37" s="10" t="str">
        <f>CONCATENATE("          ","6007", " - ","STUDENT HOURLY")</f>
        <v xml:space="preserve">          6007 - STUDENT HOURLY</v>
      </c>
      <c r="C37" s="11"/>
      <c r="D37" s="2">
        <v>16655.52</v>
      </c>
      <c r="E37" s="2">
        <v>38379.71</v>
      </c>
      <c r="F37" s="2">
        <v>12256.83</v>
      </c>
      <c r="G37" s="2">
        <v>9552.32</v>
      </c>
      <c r="H37" s="2">
        <v>10845.91</v>
      </c>
      <c r="I37" s="2">
        <v>16700.439999999999</v>
      </c>
      <c r="J37" s="2">
        <v>29661.78</v>
      </c>
      <c r="K37" s="2">
        <v>8726.81</v>
      </c>
      <c r="L37" s="2">
        <v>11991.83</v>
      </c>
      <c r="M37" s="2">
        <v>10352.01</v>
      </c>
      <c r="N37" s="2">
        <v>0</v>
      </c>
      <c r="O37" s="2">
        <v>10570.76</v>
      </c>
      <c r="P37" s="9"/>
      <c r="Q37" s="2">
        <f>SUM(OSRRefD21_1_6x)+IFERROR(SUM(OSRRefE21_1_6x),0)</f>
        <v>175693.92</v>
      </c>
    </row>
    <row r="38" spans="1:17" s="34" customFormat="1" hidden="1" outlineLevel="1" x14ac:dyDescent="0.25">
      <c r="A38" s="35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17458.47</v>
      </c>
      <c r="O38" s="2">
        <v>0</v>
      </c>
      <c r="P38" s="9"/>
      <c r="Q38" s="2">
        <f>SUM(OSRRefD21_1_7x)+IFERROR(SUM(OSRRefE21_1_7x),0)</f>
        <v>17458.47</v>
      </c>
    </row>
    <row r="39" spans="1:17" s="34" customFormat="1" hidden="1" outlineLevel="1" x14ac:dyDescent="0.25">
      <c r="A39" s="35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100</v>
      </c>
      <c r="I41" s="1">
        <f>SUM(OSRRefD21_2x_5)</f>
        <v>0</v>
      </c>
      <c r="J41" s="1">
        <f>SUM(OSRRefD21_2x_6)</f>
        <v>125</v>
      </c>
      <c r="K41" s="1">
        <f>SUM(OSRRefD21_2x_7)</f>
        <v>0</v>
      </c>
      <c r="L41" s="1">
        <f>SUM(OSRRefD21_2x_8)</f>
        <v>0</v>
      </c>
      <c r="M41" s="1">
        <f>SUM(OSRRefD21_2x_9)</f>
        <v>300</v>
      </c>
      <c r="N41" s="1">
        <f>SUM(OSRRefE21_2x_0)</f>
        <v>0</v>
      </c>
      <c r="O41" s="1">
        <f>SUM(OSRRefE21_2x_1)</f>
        <v>0</v>
      </c>
      <c r="Q41" s="2">
        <f>SUM(OSRRefD20_2x)+IFERROR(SUM(OSRRefE20_2x),0)</f>
        <v>525</v>
      </c>
    </row>
    <row r="42" spans="1:17" s="34" customFormat="1" hidden="1" outlineLevel="1" x14ac:dyDescent="0.25">
      <c r="A42" s="35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>
        <v>100</v>
      </c>
      <c r="I42" s="2"/>
      <c r="J42" s="2">
        <v>125</v>
      </c>
      <c r="K42" s="2"/>
      <c r="L42" s="2"/>
      <c r="M42" s="2">
        <v>300</v>
      </c>
      <c r="N42" s="2"/>
      <c r="O42" s="2"/>
      <c r="P42" s="9"/>
      <c r="Q42" s="2">
        <f>SUM(OSRRefD21_2_0x)+IFERROR(SUM(OSRRefE21_2_0x),0)</f>
        <v>525</v>
      </c>
    </row>
    <row r="43" spans="1:17" s="34" customFormat="1" collapsed="1" x14ac:dyDescent="0.25">
      <c r="A43" s="35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SUM(OSRRefD21_3x_0)</f>
        <v>5.88</v>
      </c>
      <c r="E43" s="1">
        <f>SUM(OSRRefD21_3x_1)</f>
        <v>61.95</v>
      </c>
      <c r="F43" s="1">
        <f>SUM(OSRRefD21_3x_2)</f>
        <v>10.38</v>
      </c>
      <c r="G43" s="1">
        <f>SUM(OSRRefD21_3x_3)</f>
        <v>-28.22</v>
      </c>
      <c r="H43" s="1">
        <f>SUM(OSRRefD21_3x_4)</f>
        <v>1.22</v>
      </c>
      <c r="I43" s="1">
        <f>SUM(OSRRefD21_3x_5)</f>
        <v>-4.96</v>
      </c>
      <c r="J43" s="1">
        <f>SUM(OSRRefD21_3x_6)</f>
        <v>1872.51</v>
      </c>
      <c r="K43" s="1">
        <f>SUM(OSRRefD21_3x_7)</f>
        <v>3283.5499999999997</v>
      </c>
      <c r="L43" s="1">
        <f>SUM(OSRRefD21_3x_8)</f>
        <v>3.9</v>
      </c>
      <c r="M43" s="1">
        <f>SUM(OSRRefD21_3x_9)</f>
        <v>-1.51</v>
      </c>
      <c r="N43" s="1">
        <f>SUM(OSRRefE21_3x_0)</f>
        <v>80</v>
      </c>
      <c r="O43" s="1">
        <f>SUM(OSRRefE21_3x_1)</f>
        <v>80</v>
      </c>
      <c r="Q43" s="2">
        <f>SUM(OSRRefD20_3x)+IFERROR(SUM(OSRRefE20_3x),0)</f>
        <v>5364.6999999999989</v>
      </c>
    </row>
    <row r="44" spans="1:17" s="34" customFormat="1" hidden="1" outlineLevel="1" x14ac:dyDescent="0.25">
      <c r="A44" s="35"/>
      <c r="B44" s="10" t="str">
        <f>CONCATENATE("          ","6272", " - ","CASH (OVER/SHORT)")</f>
        <v xml:space="preserve">          6272 - CASH (OVER/SHORT)</v>
      </c>
      <c r="C44" s="11"/>
      <c r="D44" s="2">
        <v>5.88</v>
      </c>
      <c r="E44" s="2">
        <v>61.95</v>
      </c>
      <c r="F44" s="2">
        <v>10.38</v>
      </c>
      <c r="G44" s="2">
        <v>-28.22</v>
      </c>
      <c r="H44" s="2">
        <v>1.22</v>
      </c>
      <c r="I44" s="2">
        <v>-4.96</v>
      </c>
      <c r="J44" s="2">
        <v>-124.27</v>
      </c>
      <c r="K44" s="2">
        <v>-69.09</v>
      </c>
      <c r="L44" s="2">
        <v>3.9</v>
      </c>
      <c r="M44" s="2">
        <v>-1.51</v>
      </c>
      <c r="N44" s="2">
        <v>50</v>
      </c>
      <c r="O44" s="2">
        <v>50</v>
      </c>
      <c r="P44" s="9"/>
      <c r="Q44" s="2">
        <f>SUM(OSRRefD21_3_0x)+IFERROR(SUM(OSRRefE21_3_0x),0)</f>
        <v>-44.72</v>
      </c>
    </row>
    <row r="45" spans="1:17" s="34" customFormat="1" hidden="1" outlineLevel="1" x14ac:dyDescent="0.25">
      <c r="A45" s="35"/>
      <c r="B45" s="10" t="str">
        <f>CONCATENATE("          ","6342", " - ","BAD DEBT")</f>
        <v xml:space="preserve">          6342 - BAD DEBT</v>
      </c>
      <c r="C45" s="11"/>
      <c r="D45" s="2"/>
      <c r="E45" s="2"/>
      <c r="F45" s="2"/>
      <c r="G45" s="2"/>
      <c r="H45" s="2"/>
      <c r="I45" s="2"/>
      <c r="J45" s="2">
        <v>1996.78</v>
      </c>
      <c r="K45" s="2">
        <v>3352.64</v>
      </c>
      <c r="L45" s="2"/>
      <c r="M45" s="2"/>
      <c r="N45" s="2">
        <v>30</v>
      </c>
      <c r="O45" s="2">
        <v>30</v>
      </c>
      <c r="P45" s="9"/>
      <c r="Q45" s="2">
        <f>SUM(OSRRefD21_3_1x)+IFERROR(SUM(OSRRefE21_3_1x),0)</f>
        <v>5409.42</v>
      </c>
    </row>
    <row r="46" spans="1:17" s="34" customFormat="1" collapsed="1" x14ac:dyDescent="0.25">
      <c r="A46" s="35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SUM(OSRRefD21_4x_0)</f>
        <v>2810.32</v>
      </c>
      <c r="E46" s="1">
        <f>SUM(OSRRefD21_4x_1)</f>
        <v>21627.51</v>
      </c>
      <c r="F46" s="1">
        <f>SUM(OSRRefD21_4x_2)</f>
        <v>8743.77</v>
      </c>
      <c r="G46" s="1">
        <f>SUM(OSRRefD21_4x_3)</f>
        <v>4600.4799999999996</v>
      </c>
      <c r="H46" s="1">
        <f>SUM(OSRRefD21_4x_4)</f>
        <v>2127.38</v>
      </c>
      <c r="I46" s="1">
        <f>SUM(OSRRefD21_4x_5)</f>
        <v>4573.05</v>
      </c>
      <c r="J46" s="1">
        <f>SUM(OSRRefD21_4x_6)</f>
        <v>14703.14</v>
      </c>
      <c r="K46" s="1">
        <f>SUM(OSRRefD21_4x_7)</f>
        <v>3447.7</v>
      </c>
      <c r="L46" s="1">
        <f>SUM(OSRRefD21_4x_8)</f>
        <v>3353.76</v>
      </c>
      <c r="M46" s="1">
        <f>SUM(OSRRefD21_4x_9)</f>
        <v>4816.3999999999996</v>
      </c>
      <c r="N46" s="1">
        <f>SUM(OSRRefE21_4x_0)</f>
        <v>3500</v>
      </c>
      <c r="O46" s="1">
        <f>SUM(OSRRefE21_4x_1)</f>
        <v>0</v>
      </c>
      <c r="Q46" s="2">
        <f>SUM(OSRRefD20_4x)+IFERROR(SUM(OSRRefE20_4x),0)</f>
        <v>74303.509999999995</v>
      </c>
    </row>
    <row r="47" spans="1:17" s="34" customFormat="1" hidden="1" outlineLevel="1" x14ac:dyDescent="0.25">
      <c r="A47" s="35"/>
      <c r="B47" s="10" t="str">
        <f>CONCATENATE("          ","6381", " - ","BANK/CREDIT CARD FEES")</f>
        <v xml:space="preserve">          6381 - BANK/CREDIT CARD FEES</v>
      </c>
      <c r="C47" s="11"/>
      <c r="D47" s="2">
        <v>2810.32</v>
      </c>
      <c r="E47" s="2">
        <v>21627.51</v>
      </c>
      <c r="F47" s="2">
        <v>8743.77</v>
      </c>
      <c r="G47" s="2">
        <v>4600.4799999999996</v>
      </c>
      <c r="H47" s="2">
        <v>2127.38</v>
      </c>
      <c r="I47" s="2">
        <v>4573.05</v>
      </c>
      <c r="J47" s="2">
        <v>14703.14</v>
      </c>
      <c r="K47" s="2">
        <v>3447.7</v>
      </c>
      <c r="L47" s="2">
        <v>3353.76</v>
      </c>
      <c r="M47" s="2">
        <v>4816.3999999999996</v>
      </c>
      <c r="N47" s="2">
        <v>3500</v>
      </c>
      <c r="O47" s="2"/>
      <c r="P47" s="9"/>
      <c r="Q47" s="2">
        <f>SUM(OSRRefD21_4_0x)+IFERROR(SUM(OSRRefE21_4_0x),0)</f>
        <v>74303.509999999995</v>
      </c>
    </row>
    <row r="48" spans="1:17" s="34" customFormat="1" collapsed="1" x14ac:dyDescent="0.25">
      <c r="A48" s="35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SUM(OSRRefD21_5x_0)</f>
        <v>30176.98</v>
      </c>
      <c r="E48" s="1">
        <f>SUM(OSRRefD21_5x_1)</f>
        <v>30919.45</v>
      </c>
      <c r="F48" s="1">
        <f>SUM(OSRRefD21_5x_2)</f>
        <v>30896.959999999999</v>
      </c>
      <c r="G48" s="1">
        <f>SUM(OSRRefD21_5x_3)</f>
        <v>30565.98</v>
      </c>
      <c r="H48" s="1">
        <f>SUM(OSRRefD21_5x_4)</f>
        <v>30565.97</v>
      </c>
      <c r="I48" s="1">
        <f>SUM(OSRRefD21_5x_5)</f>
        <v>30565.97</v>
      </c>
      <c r="J48" s="1">
        <f>SUM(OSRRefD21_5x_6)</f>
        <v>30565.97</v>
      </c>
      <c r="K48" s="1">
        <f>SUM(OSRRefD21_5x_7)</f>
        <v>30565.97</v>
      </c>
      <c r="L48" s="1">
        <f>SUM(OSRRefD21_5x_8)</f>
        <v>30565.97</v>
      </c>
      <c r="M48" s="1">
        <f>SUM(OSRRefD21_5x_9)</f>
        <v>30565.97</v>
      </c>
      <c r="N48" s="1">
        <f>SUM(OSRRefE21_5x_0)</f>
        <v>30124</v>
      </c>
      <c r="O48" s="1">
        <f>SUM(OSRRefE21_5x_1)</f>
        <v>29707</v>
      </c>
      <c r="Q48" s="2">
        <f>SUM(OSRRefD20_5x)+IFERROR(SUM(OSRRefE20_5x),0)</f>
        <v>365786.18999999994</v>
      </c>
    </row>
    <row r="49" spans="1:17" s="34" customFormat="1" hidden="1" outlineLevel="1" x14ac:dyDescent="0.25">
      <c r="A49" s="35"/>
      <c r="B49" s="10" t="str">
        <f>CONCATENATE("          ","6321", " - ","BUILDING DEPRECIATION")</f>
        <v xml:space="preserve">          6321 - BUILDING DEPRECIATION</v>
      </c>
      <c r="C49" s="11"/>
      <c r="D49" s="2">
        <v>16396.52</v>
      </c>
      <c r="E49" s="2">
        <v>16396.52</v>
      </c>
      <c r="F49" s="2">
        <v>16396.52</v>
      </c>
      <c r="G49" s="2">
        <v>16396.52</v>
      </c>
      <c r="H49" s="2">
        <v>16396.52</v>
      </c>
      <c r="I49" s="2">
        <v>16396.52</v>
      </c>
      <c r="J49" s="2">
        <v>16396.52</v>
      </c>
      <c r="K49" s="2">
        <v>16396.52</v>
      </c>
      <c r="L49" s="2">
        <v>16396.52</v>
      </c>
      <c r="M49" s="2">
        <v>16396.52</v>
      </c>
      <c r="N49" s="2"/>
      <c r="O49" s="2"/>
      <c r="P49" s="9"/>
      <c r="Q49" s="2">
        <f>SUM(OSRRefD21_5_0x)+IFERROR(SUM(OSRRefE21_5_0x),0)</f>
        <v>163965.19999999998</v>
      </c>
    </row>
    <row r="50" spans="1:17" s="34" customFormat="1" hidden="1" outlineLevel="1" x14ac:dyDescent="0.25">
      <c r="A50" s="35"/>
      <c r="B50" s="10" t="str">
        <f>CONCATENATE("          ","6322", " - ","EQUIPMENT DEPRECIATION EXPENSE")</f>
        <v xml:space="preserve">          6322 - EQUIPMENT DEPRECIATION EXPENSE</v>
      </c>
      <c r="C50" s="11"/>
      <c r="D50" s="2">
        <v>13780.46</v>
      </c>
      <c r="E50" s="2">
        <v>14522.93</v>
      </c>
      <c r="F50" s="2">
        <v>14500.44</v>
      </c>
      <c r="G50" s="2">
        <v>14169.46</v>
      </c>
      <c r="H50" s="2">
        <v>14169.45</v>
      </c>
      <c r="I50" s="2">
        <v>14169.45</v>
      </c>
      <c r="J50" s="2">
        <v>14169.45</v>
      </c>
      <c r="K50" s="2">
        <v>14169.45</v>
      </c>
      <c r="L50" s="2">
        <v>14169.45</v>
      </c>
      <c r="M50" s="2">
        <v>14169.45</v>
      </c>
      <c r="N50" s="2">
        <v>30124</v>
      </c>
      <c r="O50" s="2">
        <v>29707</v>
      </c>
      <c r="P50" s="9"/>
      <c r="Q50" s="2">
        <f>SUM(OSRRefD21_5_1x)+IFERROR(SUM(OSRRefE21_5_1x),0)</f>
        <v>201820.99</v>
      </c>
    </row>
    <row r="51" spans="1:17" s="34" customFormat="1" collapsed="1" x14ac:dyDescent="0.25">
      <c r="A51" s="35"/>
      <c r="B51" s="11" t="str">
        <f>CONCATENATE("     ","Discounts and Markdowns                           ")</f>
        <v xml:space="preserve">     Discounts and Markdowns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-15.43</v>
      </c>
      <c r="N51" s="1">
        <f>SUM(OSRRefE21_6x_0)</f>
        <v>0</v>
      </c>
      <c r="O51" s="1">
        <f>SUM(OSRRefE21_6x_1)</f>
        <v>0</v>
      </c>
      <c r="Q51" s="2">
        <f>SUM(OSRRefD20_6x)+IFERROR(SUM(OSRRefE20_6x),0)</f>
        <v>-15.43</v>
      </c>
    </row>
    <row r="52" spans="1:17" s="34" customFormat="1" hidden="1" outlineLevel="1" x14ac:dyDescent="0.25">
      <c r="A52" s="35"/>
      <c r="B52" s="10" t="str">
        <f>CONCATENATE("          ","9175", " - ","EARNED DISCOUNTS")</f>
        <v xml:space="preserve">          9175 - EARNED DISCOUNTS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-15.43</v>
      </c>
      <c r="N52" s="2"/>
      <c r="O52" s="2"/>
      <c r="P52" s="9"/>
      <c r="Q52" s="2">
        <f>SUM(OSRRefD21_6_0x)+IFERROR(SUM(OSRRefE21_6_0x),0)</f>
        <v>-15.43</v>
      </c>
    </row>
    <row r="53" spans="1:17" s="34" customFormat="1" collapsed="1" x14ac:dyDescent="0.25">
      <c r="A53" s="35"/>
      <c r="B53" s="11" t="str">
        <f>CONCATENATE("     ","Donations                                         ")</f>
        <v xml:space="preserve">     Donations                                         </v>
      </c>
      <c r="C53" s="11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360.9</v>
      </c>
      <c r="N53" s="1">
        <f>SUM(OSRRefE21_7x_0)</f>
        <v>0</v>
      </c>
      <c r="O53" s="1">
        <f>SUM(OSRRefE21_7x_1)</f>
        <v>0</v>
      </c>
      <c r="Q53" s="2">
        <f>SUM(OSRRefD20_7x)+IFERROR(SUM(OSRRefE20_7x),0)</f>
        <v>360.9</v>
      </c>
    </row>
    <row r="54" spans="1:17" s="34" customFormat="1" hidden="1" outlineLevel="1" x14ac:dyDescent="0.25">
      <c r="A54" s="35"/>
      <c r="B54" s="10" t="str">
        <f>CONCATENATE("          ","6399", " - ","DONATION-ON CAMPUS")</f>
        <v xml:space="preserve">          6399 - DONATION-ON CAMPUS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360.9</v>
      </c>
      <c r="N54" s="2">
        <v>0</v>
      </c>
      <c r="O54" s="2">
        <v>0</v>
      </c>
      <c r="P54" s="9"/>
      <c r="Q54" s="2">
        <f>SUM(OSRRefD21_7_0x)+IFERROR(SUM(OSRRefE21_7_0x),0)</f>
        <v>360.9</v>
      </c>
    </row>
    <row r="55" spans="1:17" s="34" customFormat="1" collapsed="1" x14ac:dyDescent="0.25">
      <c r="A55" s="35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SUM(OSRRefD21_8x_0)</f>
        <v>0</v>
      </c>
      <c r="E55" s="1">
        <f>SUM(OSRRefD21_8x_1)</f>
        <v>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78.33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SUM(OSRRefE21_8x_0)</f>
        <v>125</v>
      </c>
      <c r="O55" s="1">
        <f>SUM(OSRRefE21_8x_1)</f>
        <v>125</v>
      </c>
      <c r="Q55" s="2">
        <f>SUM(OSRRefD20_8x)+IFERROR(SUM(OSRRefE20_8x),0)</f>
        <v>328.33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/>
      <c r="J56" s="2">
        <v>78.33</v>
      </c>
      <c r="K56" s="2"/>
      <c r="L56" s="2"/>
      <c r="M56" s="2"/>
      <c r="N56" s="2">
        <v>125</v>
      </c>
      <c r="O56" s="2">
        <v>125</v>
      </c>
      <c r="P56" s="9"/>
      <c r="Q56" s="2">
        <f>SUM(OSRRefD21_8_0x)+IFERROR(SUM(OSRRefE21_8_0x),0)</f>
        <v>328.33</v>
      </c>
    </row>
    <row r="57" spans="1:17" s="34" customFormat="1" collapsed="1" x14ac:dyDescent="0.25">
      <c r="A57" s="35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SUM(OSRRefD21_9x_0)</f>
        <v>91.26</v>
      </c>
      <c r="E57" s="1">
        <f>SUM(OSRRefD21_9x_1)</f>
        <v>91.26</v>
      </c>
      <c r="F57" s="1">
        <f>SUM(OSRRefD21_9x_2)</f>
        <v>415.15</v>
      </c>
      <c r="G57" s="1">
        <f>SUM(OSRRefD21_9x_3)</f>
        <v>91.26</v>
      </c>
      <c r="H57" s="1">
        <f>SUM(OSRRefD21_9x_4)</f>
        <v>415.15</v>
      </c>
      <c r="I57" s="1">
        <f>SUM(OSRRefD21_9x_5)</f>
        <v>91.26</v>
      </c>
      <c r="J57" s="1">
        <f>SUM(OSRRefD21_9x_6)</f>
        <v>91.26</v>
      </c>
      <c r="K57" s="1">
        <f>SUM(OSRRefD21_9x_7)</f>
        <v>487.31</v>
      </c>
      <c r="L57" s="1">
        <f>SUM(OSRRefD21_9x_8)</f>
        <v>0</v>
      </c>
      <c r="M57" s="1">
        <f>SUM(OSRRefD21_9x_9)</f>
        <v>91.26</v>
      </c>
      <c r="N57" s="1">
        <f>SUM(OSRRefE21_9x_0)</f>
        <v>700</v>
      </c>
      <c r="O57" s="1">
        <f>SUM(OSRRefE21_9x_1)</f>
        <v>700</v>
      </c>
      <c r="Q57" s="2">
        <f>SUM(OSRRefD20_9x)+IFERROR(SUM(OSRRefE20_9x),0)</f>
        <v>3265.17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1"/>
      <c r="D58" s="2">
        <v>91.26</v>
      </c>
      <c r="E58" s="2">
        <v>91.26</v>
      </c>
      <c r="F58" s="2">
        <v>415.15</v>
      </c>
      <c r="G58" s="2">
        <v>91.26</v>
      </c>
      <c r="H58" s="2">
        <v>415.15</v>
      </c>
      <c r="I58" s="2">
        <v>91.26</v>
      </c>
      <c r="J58" s="2">
        <v>91.26</v>
      </c>
      <c r="K58" s="2">
        <v>487.31</v>
      </c>
      <c r="L58" s="2"/>
      <c r="M58" s="2">
        <v>91.26</v>
      </c>
      <c r="N58" s="2">
        <v>700</v>
      </c>
      <c r="O58" s="2">
        <v>700</v>
      </c>
      <c r="P58" s="9"/>
      <c r="Q58" s="2">
        <f>SUM(OSRRefD21_9_0x)+IFERROR(SUM(OSRRefE21_9_0x),0)</f>
        <v>3265.17</v>
      </c>
    </row>
    <row r="59" spans="1:17" s="34" customFormat="1" collapsed="1" x14ac:dyDescent="0.25">
      <c r="A59" s="35"/>
      <c r="B59" s="11" t="str">
        <f>CONCATENATE("     ","Freight out/Postage                               ")</f>
        <v xml:space="preserve">     Freight out/Postage                               </v>
      </c>
      <c r="C59" s="11"/>
      <c r="D59" s="1">
        <f>SUM(OSRRefD21_10x_0)</f>
        <v>0</v>
      </c>
      <c r="E59" s="1">
        <f>SUM(OSRRefD21_10x_1)</f>
        <v>315.95</v>
      </c>
      <c r="F59" s="1">
        <f>SUM(OSRRefD21_10x_2)</f>
        <v>315.95</v>
      </c>
      <c r="G59" s="1">
        <f>SUM(OSRRefD21_10x_3)</f>
        <v>15.95</v>
      </c>
      <c r="H59" s="1">
        <f>SUM(OSRRefD21_10x_4)</f>
        <v>15.95</v>
      </c>
      <c r="I59" s="1">
        <f>SUM(OSRRefD21_10x_5)</f>
        <v>15.95</v>
      </c>
      <c r="J59" s="1">
        <f>SUM(OSRRefD21_10x_6)</f>
        <v>1321.95</v>
      </c>
      <c r="K59" s="1">
        <f>SUM(OSRRefD21_10x_7)</f>
        <v>15.95</v>
      </c>
      <c r="L59" s="1">
        <f>SUM(OSRRefD21_10x_8)</f>
        <v>15.95</v>
      </c>
      <c r="M59" s="1">
        <f>SUM(OSRRefD21_10x_9)</f>
        <v>16.46</v>
      </c>
      <c r="N59" s="1">
        <f>SUM(OSRRefE21_10x_0)</f>
        <v>10</v>
      </c>
      <c r="O59" s="1">
        <f>SUM(OSRRefE21_10x_1)</f>
        <v>10</v>
      </c>
      <c r="Q59" s="2">
        <f>SUM(OSRRefD20_10x)+IFERROR(SUM(OSRRefE20_10x),0)</f>
        <v>2070.0600000000004</v>
      </c>
    </row>
    <row r="60" spans="1:17" s="34" customFormat="1" hidden="1" outlineLevel="1" x14ac:dyDescent="0.25">
      <c r="A60" s="35"/>
      <c r="B60" s="10" t="str">
        <f>CONCATENATE("          ","6307", " - ","POSTAGE")</f>
        <v xml:space="preserve">          6307 - POSTAGE</v>
      </c>
      <c r="C60" s="11"/>
      <c r="D60" s="2"/>
      <c r="E60" s="2">
        <v>315.95</v>
      </c>
      <c r="F60" s="2">
        <v>315.95</v>
      </c>
      <c r="G60" s="2">
        <v>15.95</v>
      </c>
      <c r="H60" s="2">
        <v>15.95</v>
      </c>
      <c r="I60" s="2">
        <v>15.95</v>
      </c>
      <c r="J60" s="2">
        <v>1321.95</v>
      </c>
      <c r="K60" s="2">
        <v>15.95</v>
      </c>
      <c r="L60" s="2">
        <v>15.95</v>
      </c>
      <c r="M60" s="2">
        <v>16.46</v>
      </c>
      <c r="N60" s="2">
        <v>10</v>
      </c>
      <c r="O60" s="2">
        <v>10</v>
      </c>
      <c r="P60" s="9"/>
      <c r="Q60" s="2">
        <f>SUM(OSRRefD21_10_0x)+IFERROR(SUM(OSRRefE21_10_0x),0)</f>
        <v>2070.0600000000004</v>
      </c>
    </row>
    <row r="61" spans="1:17" s="34" customFormat="1" collapsed="1" x14ac:dyDescent="0.25">
      <c r="A61" s="35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SUM(OSRRefD21_11x_0)</f>
        <v>754.55</v>
      </c>
      <c r="E61" s="1">
        <f>SUM(OSRRefD21_11x_1)</f>
        <v>113.26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300</v>
      </c>
      <c r="J61" s="1">
        <f>SUM(OSRRefD21_11x_6)</f>
        <v>219</v>
      </c>
      <c r="K61" s="1">
        <f>SUM(OSRRefD21_11x_7)</f>
        <v>0</v>
      </c>
      <c r="L61" s="1">
        <f>SUM(OSRRefD21_11x_8)</f>
        <v>0</v>
      </c>
      <c r="M61" s="1">
        <f>SUM(OSRRefD21_11x_9)</f>
        <v>0</v>
      </c>
      <c r="N61" s="1">
        <f>SUM(OSRRefE21_11x_0)</f>
        <v>250</v>
      </c>
      <c r="O61" s="1">
        <f>SUM(OSRRefE21_11x_1)</f>
        <v>250</v>
      </c>
      <c r="Q61" s="2">
        <f>SUM(OSRRefD20_11x)+IFERROR(SUM(OSRRefE20_11x),0)</f>
        <v>1886.81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1"/>
      <c r="D62" s="2">
        <v>754.55</v>
      </c>
      <c r="E62" s="2">
        <v>113.26</v>
      </c>
      <c r="F62" s="2"/>
      <c r="G62" s="2"/>
      <c r="H62" s="2"/>
      <c r="I62" s="2">
        <v>300</v>
      </c>
      <c r="J62" s="2">
        <v>219</v>
      </c>
      <c r="K62" s="2"/>
      <c r="L62" s="2"/>
      <c r="M62" s="2"/>
      <c r="N62" s="2">
        <v>250</v>
      </c>
      <c r="O62" s="2">
        <v>250</v>
      </c>
      <c r="P62" s="9"/>
      <c r="Q62" s="2">
        <f>SUM(OSRRefD21_11_0x)+IFERROR(SUM(OSRRefE21_11_0x),0)</f>
        <v>1886.81</v>
      </c>
    </row>
    <row r="63" spans="1:17" s="34" customFormat="1" collapsed="1" x14ac:dyDescent="0.25">
      <c r="A63" s="35"/>
      <c r="B63" s="11" t="str">
        <f>CONCATENATE("     ","Insurance                                         ")</f>
        <v xml:space="preserve">     Insurance                                         </v>
      </c>
      <c r="C63" s="11"/>
      <c r="D63" s="1">
        <f>SUM(OSRRefD21_12x_0)</f>
        <v>3883.56</v>
      </c>
      <c r="E63" s="1">
        <f>SUM(OSRRefD21_12x_1)</f>
        <v>3883.56</v>
      </c>
      <c r="F63" s="1">
        <f>SUM(OSRRefD21_12x_2)</f>
        <v>3883.56</v>
      </c>
      <c r="G63" s="1">
        <f>SUM(OSRRefD21_12x_3)</f>
        <v>3883.56</v>
      </c>
      <c r="H63" s="1">
        <f>SUM(OSRRefD21_12x_4)</f>
        <v>3883.56</v>
      </c>
      <c r="I63" s="1">
        <f>SUM(OSRRefD21_12x_5)</f>
        <v>3883.56</v>
      </c>
      <c r="J63" s="1">
        <f>SUM(OSRRefD21_12x_6)</f>
        <v>3883.56</v>
      </c>
      <c r="K63" s="1">
        <f>SUM(OSRRefD21_12x_7)</f>
        <v>3883.56</v>
      </c>
      <c r="L63" s="1">
        <f>SUM(OSRRefD21_12x_8)</f>
        <v>3883.56</v>
      </c>
      <c r="M63" s="1">
        <f>SUM(OSRRefD21_12x_9)</f>
        <v>3883.56</v>
      </c>
      <c r="N63" s="1">
        <f>SUM(OSRRefE21_12x_0)</f>
        <v>4270</v>
      </c>
      <c r="O63" s="1">
        <f>SUM(OSRRefE21_12x_1)</f>
        <v>4270</v>
      </c>
      <c r="Q63" s="2">
        <f>SUM(OSRRefD20_12x)+IFERROR(SUM(OSRRefE20_12x),0)</f>
        <v>47375.6</v>
      </c>
    </row>
    <row r="64" spans="1:17" s="34" customFormat="1" hidden="1" outlineLevel="1" x14ac:dyDescent="0.25">
      <c r="A64" s="35"/>
      <c r="B64" s="10" t="str">
        <f>CONCATENATE("          ","6314", " - ","LIABILITY INSURANCE")</f>
        <v xml:space="preserve">          6314 - LIABILITY INSURANCE</v>
      </c>
      <c r="C64" s="11"/>
      <c r="D64" s="2">
        <v>3883.56</v>
      </c>
      <c r="E64" s="2">
        <v>3883.56</v>
      </c>
      <c r="F64" s="2">
        <v>3883.56</v>
      </c>
      <c r="G64" s="2">
        <v>3883.56</v>
      </c>
      <c r="H64" s="2">
        <v>3883.56</v>
      </c>
      <c r="I64" s="2">
        <v>3883.56</v>
      </c>
      <c r="J64" s="2">
        <v>3883.56</v>
      </c>
      <c r="K64" s="2">
        <v>3883.56</v>
      </c>
      <c r="L64" s="2">
        <v>3883.56</v>
      </c>
      <c r="M64" s="2">
        <v>3883.56</v>
      </c>
      <c r="N64" s="2">
        <v>4270</v>
      </c>
      <c r="O64" s="2">
        <v>4270</v>
      </c>
      <c r="P64" s="9"/>
      <c r="Q64" s="2">
        <f>SUM(OSRRefD21_12_0x)+IFERROR(SUM(OSRRefE21_12_0x),0)</f>
        <v>47375.6</v>
      </c>
    </row>
    <row r="65" spans="1:17" s="34" customFormat="1" collapsed="1" x14ac:dyDescent="0.25">
      <c r="A65" s="35"/>
      <c r="B65" s="11" t="str">
        <f>CONCATENATE("     ","Inventory Adjustment                              ")</f>
        <v xml:space="preserve">     Inventory Adjustment                              </v>
      </c>
      <c r="C65" s="11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SUM(OSRRefD21_13x_3)</f>
        <v>0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SUM(OSRRefD21_13x_7)</f>
        <v>0</v>
      </c>
      <c r="L65" s="1">
        <f>SUM(OSRRefD21_13x_8)</f>
        <v>0</v>
      </c>
      <c r="M65" s="1">
        <f>SUM(OSRRefD21_13x_9)</f>
        <v>0</v>
      </c>
      <c r="N65" s="1">
        <f>SUM(OSRRefE21_13x_0)</f>
        <v>0</v>
      </c>
      <c r="O65" s="1">
        <f>SUM(OSRRefE21_13x_1)</f>
        <v>0</v>
      </c>
      <c r="Q65" s="2">
        <f>SUM(OSRRefD20_13x)+IFERROR(SUM(OSRRefE20_13x),0)</f>
        <v>0</v>
      </c>
    </row>
    <row r="66" spans="1:17" s="34" customFormat="1" hidden="1" outlineLevel="1" x14ac:dyDescent="0.25">
      <c r="A66" s="35"/>
      <c r="B66" s="10" t="str">
        <f>CONCATENATE("          ","6408", " - ","INVENTORY ADJUSTMENT")</f>
        <v xml:space="preserve">          6408 - INVENTORY ADJUSTMENT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SUM(OSRRefD21_13_0x)+IFERROR(SUM(OSRRefE21_13_0x),0)</f>
        <v>0</v>
      </c>
    </row>
    <row r="67" spans="1:17" s="34" customFormat="1" collapsed="1" x14ac:dyDescent="0.25">
      <c r="A67" s="35"/>
      <c r="B67" s="11" t="str">
        <f>CONCATENATE("     ","Rent                                              ")</f>
        <v xml:space="preserve">     Rent                                              </v>
      </c>
      <c r="C67" s="11"/>
      <c r="D67" s="1">
        <f>SUM(OSRRefD21_14x_0)</f>
        <v>-800</v>
      </c>
      <c r="E67" s="1">
        <f>SUM(OSRRefD21_14x_1)</f>
        <v>-800</v>
      </c>
      <c r="F67" s="1">
        <f>SUM(OSRRefD21_14x_2)</f>
        <v>-800</v>
      </c>
      <c r="G67" s="1">
        <f>SUM(OSRRefD21_14x_3)</f>
        <v>-800</v>
      </c>
      <c r="H67" s="1">
        <f>SUM(OSRRefD21_14x_4)</f>
        <v>-800</v>
      </c>
      <c r="I67" s="1">
        <f>SUM(OSRRefD21_14x_5)</f>
        <v>-800</v>
      </c>
      <c r="J67" s="1">
        <f>SUM(OSRRefD21_14x_6)</f>
        <v>-800</v>
      </c>
      <c r="K67" s="1">
        <f>SUM(OSRRefD21_14x_7)</f>
        <v>-800</v>
      </c>
      <c r="L67" s="1">
        <f>SUM(OSRRefD21_14x_8)</f>
        <v>-800</v>
      </c>
      <c r="M67" s="1">
        <f>SUM(OSRRefD21_14x_9)</f>
        <v>-800</v>
      </c>
      <c r="N67" s="1">
        <f>SUM(OSRRefE21_14x_0)</f>
        <v>-800</v>
      </c>
      <c r="O67" s="1">
        <f>SUM(OSRRefE21_14x_1)</f>
        <v>-800</v>
      </c>
      <c r="Q67" s="2">
        <f>SUM(OSRRefD20_14x)+IFERROR(SUM(OSRRefE20_14x),0)</f>
        <v>-9600</v>
      </c>
    </row>
    <row r="68" spans="1:17" s="34" customFormat="1" hidden="1" outlineLevel="1" x14ac:dyDescent="0.25">
      <c r="A68" s="35"/>
      <c r="B68" s="10" t="str">
        <f>CONCATENATE("          ","6273", " - ","RENT")</f>
        <v xml:space="preserve">          6273 - RENT</v>
      </c>
      <c r="C68" s="11"/>
      <c r="D68" s="2">
        <v>-800</v>
      </c>
      <c r="E68" s="2">
        <v>-800</v>
      </c>
      <c r="F68" s="2">
        <v>-800</v>
      </c>
      <c r="G68" s="2">
        <v>-800</v>
      </c>
      <c r="H68" s="2">
        <v>-800</v>
      </c>
      <c r="I68" s="2">
        <v>-800</v>
      </c>
      <c r="J68" s="2">
        <v>-800</v>
      </c>
      <c r="K68" s="2">
        <v>-800</v>
      </c>
      <c r="L68" s="2">
        <v>-800</v>
      </c>
      <c r="M68" s="2">
        <v>-800</v>
      </c>
      <c r="N68" s="2">
        <v>-800</v>
      </c>
      <c r="O68" s="2">
        <v>-800</v>
      </c>
      <c r="P68" s="9"/>
      <c r="Q68" s="2">
        <f>SUM(OSRRefD21_14_0x)+IFERROR(SUM(OSRRefE21_14_0x),0)</f>
        <v>-9600</v>
      </c>
    </row>
    <row r="69" spans="1:17" s="34" customFormat="1" collapsed="1" x14ac:dyDescent="0.25">
      <c r="A69" s="35"/>
      <c r="B69" s="11" t="str">
        <f>CONCATENATE("     ","Repair and Maintenance                            ")</f>
        <v xml:space="preserve">     Repair and Maintenance                            </v>
      </c>
      <c r="C69" s="11"/>
      <c r="D69" s="1">
        <f>SUM(OSRRefD21_15x_0)</f>
        <v>59946.810000000005</v>
      </c>
      <c r="E69" s="1">
        <f>SUM(OSRRefD21_15x_1)</f>
        <v>1401.3999999999999</v>
      </c>
      <c r="F69" s="1">
        <f>SUM(OSRRefD21_15x_2)</f>
        <v>5917.67</v>
      </c>
      <c r="G69" s="1">
        <f>SUM(OSRRefD21_15x_3)</f>
        <v>6258.34</v>
      </c>
      <c r="H69" s="1">
        <f>SUM(OSRRefD21_15x_4)</f>
        <v>2812.5</v>
      </c>
      <c r="I69" s="1">
        <f>SUM(OSRRefD21_15x_5)</f>
        <v>2967.36</v>
      </c>
      <c r="J69" s="1">
        <f>SUM(OSRRefD21_15x_6)</f>
        <v>2626.01</v>
      </c>
      <c r="K69" s="1">
        <f>SUM(OSRRefD21_15x_7)</f>
        <v>15641.16</v>
      </c>
      <c r="L69" s="1">
        <f>SUM(OSRRefD21_15x_8)</f>
        <v>1088.31</v>
      </c>
      <c r="M69" s="1">
        <f>SUM(OSRRefD21_15x_9)</f>
        <v>2128.54</v>
      </c>
      <c r="N69" s="1">
        <f>SUM(OSRRefE21_15x_0)</f>
        <v>6000</v>
      </c>
      <c r="O69" s="1">
        <f>SUM(OSRRefE21_15x_1)</f>
        <v>6000</v>
      </c>
      <c r="Q69" s="2">
        <f>SUM(OSRRefD20_15x)+IFERROR(SUM(OSRRefE20_15x),0)</f>
        <v>112788.09999999999</v>
      </c>
    </row>
    <row r="70" spans="1:17" s="34" customFormat="1" hidden="1" outlineLevel="1" x14ac:dyDescent="0.25">
      <c r="A70" s="35"/>
      <c r="B70" s="10" t="str">
        <f>CONCATENATE("          ","6371", " - ","COMPUTER SOFTWARE MAINTENANCE")</f>
        <v xml:space="preserve">          6371 - COMPUTER SOFTWARE MAINTENANCE</v>
      </c>
      <c r="C70" s="11"/>
      <c r="D70" s="2">
        <v>58428.78</v>
      </c>
      <c r="E70" s="2"/>
      <c r="F70" s="2"/>
      <c r="G70" s="2"/>
      <c r="H70" s="2"/>
      <c r="I70" s="2"/>
      <c r="J70" s="2"/>
      <c r="K70" s="2">
        <v>1331.25</v>
      </c>
      <c r="L70" s="2"/>
      <c r="M70" s="2"/>
      <c r="N70" s="2"/>
      <c r="O70" s="2"/>
      <c r="P70" s="9"/>
      <c r="Q70" s="2">
        <f>SUM(OSRRefD21_15_0x)+IFERROR(SUM(OSRRefE21_15_0x),0)</f>
        <v>59760.03</v>
      </c>
    </row>
    <row r="71" spans="1:17" s="34" customFormat="1" hidden="1" outlineLevel="1" x14ac:dyDescent="0.25">
      <c r="A71" s="35"/>
      <c r="B71" s="10" t="str">
        <f>CONCATENATE("          ","6372", " - ","COMPUTER HARDWARE MAINTENANCE")</f>
        <v xml:space="preserve">          6372 - COMPUTER HARDWARE MAINTENANCE</v>
      </c>
      <c r="C71" s="11"/>
      <c r="D71" s="2"/>
      <c r="E71" s="2">
        <v>0.98</v>
      </c>
      <c r="F71" s="2">
        <v>-9.09</v>
      </c>
      <c r="G71" s="2">
        <v>8.11</v>
      </c>
      <c r="H71" s="2"/>
      <c r="I71" s="2"/>
      <c r="J71" s="2"/>
      <c r="K71" s="2">
        <v>-0.63</v>
      </c>
      <c r="L71" s="2"/>
      <c r="M71" s="2"/>
      <c r="N71" s="2"/>
      <c r="O71" s="2"/>
      <c r="P71" s="9"/>
      <c r="Q71" s="2">
        <f>SUM(OSRRefD21_15_1x)+IFERROR(SUM(OSRRefE21_15_1x),0)</f>
        <v>-0.63</v>
      </c>
    </row>
    <row r="72" spans="1:17" s="34" customFormat="1" hidden="1" outlineLevel="1" x14ac:dyDescent="0.25">
      <c r="A72" s="35"/>
      <c r="B72" s="10" t="str">
        <f>CONCATENATE("          ","6373", " - ","MAINTENANCE CONTRACTS")</f>
        <v xml:space="preserve">          6373 - MAINTENANCE CONTRACTS</v>
      </c>
      <c r="C72" s="11"/>
      <c r="D72" s="2">
        <v>15.05</v>
      </c>
      <c r="E72" s="2">
        <v>1066.5999999999999</v>
      </c>
      <c r="F72" s="2">
        <v>5006.12</v>
      </c>
      <c r="G72" s="2">
        <v>110.6</v>
      </c>
      <c r="H72" s="2">
        <v>18.010000000000002</v>
      </c>
      <c r="I72" s="2">
        <v>2922.36</v>
      </c>
      <c r="J72" s="2">
        <v>51.01</v>
      </c>
      <c r="K72" s="2">
        <v>2884.06</v>
      </c>
      <c r="L72" s="2">
        <v>1043.31</v>
      </c>
      <c r="M72" s="2">
        <v>1308.71</v>
      </c>
      <c r="N72" s="2">
        <v>500</v>
      </c>
      <c r="O72" s="2">
        <v>500</v>
      </c>
      <c r="P72" s="9"/>
      <c r="Q72" s="2">
        <f>SUM(OSRRefD21_15_2x)+IFERROR(SUM(OSRRefE21_15_2x),0)</f>
        <v>15425.829999999998</v>
      </c>
    </row>
    <row r="73" spans="1:17" s="34" customFormat="1" hidden="1" outlineLevel="1" x14ac:dyDescent="0.25">
      <c r="A73" s="35"/>
      <c r="B73" s="10" t="str">
        <f>CONCATENATE("          ","6375", " - ","OUTSIDE REPAIRS &amp; MAINTENANCE")</f>
        <v xml:space="preserve">          6375 - OUTSIDE REPAIRS &amp; MAINTENANCE</v>
      </c>
      <c r="C73" s="11"/>
      <c r="D73" s="2">
        <v>1502.98</v>
      </c>
      <c r="E73" s="2">
        <v>333.82</v>
      </c>
      <c r="F73" s="2">
        <v>920.64</v>
      </c>
      <c r="G73" s="2">
        <v>6139.63</v>
      </c>
      <c r="H73" s="2">
        <v>2794.49</v>
      </c>
      <c r="I73" s="2">
        <v>45</v>
      </c>
      <c r="J73" s="2">
        <v>2575</v>
      </c>
      <c r="K73" s="2">
        <v>11426.48</v>
      </c>
      <c r="L73" s="2">
        <v>45</v>
      </c>
      <c r="M73" s="2">
        <v>819.83</v>
      </c>
      <c r="N73" s="2">
        <v>5500</v>
      </c>
      <c r="O73" s="2">
        <v>5500</v>
      </c>
      <c r="P73" s="9"/>
      <c r="Q73" s="2">
        <f>SUM(OSRRefD21_15_3x)+IFERROR(SUM(OSRRefE21_15_3x),0)</f>
        <v>37602.870000000003</v>
      </c>
    </row>
    <row r="74" spans="1:17" s="34" customFormat="1" collapsed="1" x14ac:dyDescent="0.25">
      <c r="A74" s="35"/>
      <c r="B74" s="11" t="str">
        <f>CONCATENATE("     ","Services                                          ")</f>
        <v xml:space="preserve">     Services                                          </v>
      </c>
      <c r="C74" s="11"/>
      <c r="D74" s="1">
        <f>SUM(OSRRefD21_16x_0)</f>
        <v>4330.68</v>
      </c>
      <c r="E74" s="1">
        <f>SUM(OSRRefD21_16x_1)</f>
        <v>295.94</v>
      </c>
      <c r="F74" s="1">
        <f>SUM(OSRRefD21_16x_2)</f>
        <v>4330.68</v>
      </c>
      <c r="G74" s="1">
        <f>SUM(OSRRefD21_16x_3)</f>
        <v>3871.5600000000004</v>
      </c>
      <c r="H74" s="1">
        <f>SUM(OSRRefD21_16x_4)</f>
        <v>3873.95</v>
      </c>
      <c r="I74" s="1">
        <f>SUM(OSRRefD21_16x_5)</f>
        <v>2269.62</v>
      </c>
      <c r="J74" s="1">
        <f>SUM(OSRRefD21_16x_6)</f>
        <v>5463.73</v>
      </c>
      <c r="K74" s="1">
        <f>SUM(OSRRefD21_16x_7)</f>
        <v>3850.73</v>
      </c>
      <c r="L74" s="1">
        <f>SUM(OSRRefD21_16x_8)</f>
        <v>7224.93</v>
      </c>
      <c r="M74" s="1">
        <f>SUM(OSRRefD21_16x_9)</f>
        <v>3850.73</v>
      </c>
      <c r="N74" s="1">
        <f>SUM(OSRRefE21_16x_0)</f>
        <v>4300</v>
      </c>
      <c r="O74" s="1">
        <f>SUM(OSRRefE21_16x_1)</f>
        <v>4300</v>
      </c>
      <c r="Q74" s="2">
        <f>SUM(OSRRefD20_16x)+IFERROR(SUM(OSRRefE20_16x),0)</f>
        <v>47962.55</v>
      </c>
    </row>
    <row r="75" spans="1:17" s="34" customFormat="1" hidden="1" outlineLevel="1" x14ac:dyDescent="0.25">
      <c r="A75" s="35"/>
      <c r="B75" s="10" t="str">
        <f>CONCATENATE("          ","6282", " - ","JANITORIAL/EXTERMINATOR EXPENS")</f>
        <v xml:space="preserve">          6282 - JANITORIAL/EXTERMINATOR EXPENS</v>
      </c>
      <c r="C75" s="11"/>
      <c r="D75" s="2">
        <v>92.5</v>
      </c>
      <c r="E75" s="2">
        <v>295.94</v>
      </c>
      <c r="F75" s="2">
        <v>222.5</v>
      </c>
      <c r="G75" s="2">
        <v>4330.68</v>
      </c>
      <c r="H75" s="2">
        <v>222.5</v>
      </c>
      <c r="I75" s="2"/>
      <c r="J75" s="2">
        <v>1613</v>
      </c>
      <c r="K75" s="2"/>
      <c r="L75" s="2">
        <v>453</v>
      </c>
      <c r="M75" s="2"/>
      <c r="N75" s="2">
        <v>4000</v>
      </c>
      <c r="O75" s="2">
        <v>4000</v>
      </c>
      <c r="P75" s="9"/>
      <c r="Q75" s="2">
        <f>SUM(OSRRefD21_16_0x)+IFERROR(SUM(OSRRefE21_16_0x),0)</f>
        <v>15230.12</v>
      </c>
    </row>
    <row r="76" spans="1:17" s="34" customFormat="1" hidden="1" outlineLevel="1" x14ac:dyDescent="0.25">
      <c r="A76" s="35"/>
      <c r="B76" s="10" t="str">
        <f>CONCATENATE("          ","6283", " - ","PLANT SERVICE")</f>
        <v xml:space="preserve">          6283 - PLANT SERVICE</v>
      </c>
      <c r="C76" s="11"/>
      <c r="D76" s="2">
        <v>130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SUM(OSRRefD21_16_1x)+IFERROR(SUM(OSRRefE21_16_1x),0)</f>
        <v>130</v>
      </c>
    </row>
    <row r="77" spans="1:17" s="34" customFormat="1" hidden="1" outlineLevel="1" x14ac:dyDescent="0.25">
      <c r="A77" s="35"/>
      <c r="B77" s="10" t="str">
        <f>CONCATENATE("          ","6285", " - ","JANITORIAL SERVICES")</f>
        <v xml:space="preserve">          6285 - JANITORIAL SERVICES</v>
      </c>
      <c r="C77" s="11"/>
      <c r="D77" s="2">
        <v>4108.18</v>
      </c>
      <c r="E77" s="2"/>
      <c r="F77" s="2">
        <v>4108.18</v>
      </c>
      <c r="G77" s="2">
        <v>-459.12</v>
      </c>
      <c r="H77" s="2">
        <v>3651.45</v>
      </c>
      <c r="I77" s="2">
        <v>2269.62</v>
      </c>
      <c r="J77" s="2">
        <v>3850.73</v>
      </c>
      <c r="K77" s="2">
        <v>3850.73</v>
      </c>
      <c r="L77" s="2">
        <v>6771.93</v>
      </c>
      <c r="M77" s="2">
        <v>3850.73</v>
      </c>
      <c r="N77" s="2">
        <v>300</v>
      </c>
      <c r="O77" s="2">
        <v>300</v>
      </c>
      <c r="P77" s="9"/>
      <c r="Q77" s="2">
        <f>SUM(OSRRefD21_16_2x)+IFERROR(SUM(OSRRefE21_16_2x),0)</f>
        <v>32602.43</v>
      </c>
    </row>
    <row r="78" spans="1:17" s="34" customFormat="1" collapsed="1" x14ac:dyDescent="0.25">
      <c r="A78" s="35"/>
      <c r="B78" s="11" t="str">
        <f>CONCATENATE("     ","Subscriptions &amp; Dues                              ")</f>
        <v xml:space="preserve">     Subscriptions &amp; Dues                              </v>
      </c>
      <c r="C78" s="11"/>
      <c r="D78" s="1">
        <f>SUM(OSRRefD21_17x_0)</f>
        <v>0</v>
      </c>
      <c r="E78" s="1">
        <f>SUM(OSRRefD21_17x_1)</f>
        <v>0</v>
      </c>
      <c r="F78" s="1">
        <f>SUM(OSRRefD21_17x_2)</f>
        <v>0</v>
      </c>
      <c r="G78" s="1">
        <f>SUM(OSRRefD21_17x_3)</f>
        <v>0</v>
      </c>
      <c r="H78" s="1">
        <f>SUM(OSRRefD21_17x_4)</f>
        <v>0</v>
      </c>
      <c r="I78" s="1">
        <f>SUM(OSRRefD21_17x_5)</f>
        <v>0</v>
      </c>
      <c r="J78" s="1">
        <f>SUM(OSRRefD21_17x_6)</f>
        <v>0</v>
      </c>
      <c r="K78" s="1">
        <f>SUM(OSRRefD21_17x_7)</f>
        <v>0</v>
      </c>
      <c r="L78" s="1">
        <f>SUM(OSRRefD21_17x_8)</f>
        <v>0</v>
      </c>
      <c r="M78" s="1">
        <f>SUM(OSRRefD21_17x_9)</f>
        <v>0</v>
      </c>
      <c r="N78" s="1">
        <f>SUM(OSRRefE21_17x_0)</f>
        <v>800</v>
      </c>
      <c r="O78" s="1">
        <f>SUM(OSRRefE21_17x_1)</f>
        <v>800</v>
      </c>
      <c r="Q78" s="2">
        <f>SUM(OSRRefD20_17x)+IFERROR(SUM(OSRRefE20_17x),0)</f>
        <v>1600</v>
      </c>
    </row>
    <row r="79" spans="1:17" s="34" customFormat="1" hidden="1" outlineLevel="1" x14ac:dyDescent="0.25">
      <c r="A79" s="35"/>
      <c r="B79" s="10" t="str">
        <f>CONCATENATE("          ","6258", " - ","MEMBERSHIP DUES")</f>
        <v xml:space="preserve">          6258 - MEMBERSHIP DUES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800</v>
      </c>
      <c r="O79" s="2">
        <v>800</v>
      </c>
      <c r="P79" s="9"/>
      <c r="Q79" s="2">
        <f>SUM(OSRRefD21_17_0x)+IFERROR(SUM(OSRRefE21_17_0x),0)</f>
        <v>1600</v>
      </c>
    </row>
    <row r="80" spans="1:17" s="34" customFormat="1" collapsed="1" x14ac:dyDescent="0.25">
      <c r="A80" s="35"/>
      <c r="B80" s="11" t="str">
        <f>CONCATENATE("     ","Supplies                                          ")</f>
        <v xml:space="preserve">     Supplies                                          </v>
      </c>
      <c r="C80" s="11"/>
      <c r="D80" s="1">
        <f>SUM(OSRRefD21_18x_0)</f>
        <v>4985.9900000000007</v>
      </c>
      <c r="E80" s="1">
        <f>SUM(OSRRefD21_18x_1)</f>
        <v>2488.9299999999998</v>
      </c>
      <c r="F80" s="1">
        <f>SUM(OSRRefD21_18x_2)</f>
        <v>2360.1799999999998</v>
      </c>
      <c r="G80" s="1">
        <f>SUM(OSRRefD21_18x_3)</f>
        <v>20355.759999999998</v>
      </c>
      <c r="H80" s="1">
        <f>SUM(OSRRefD21_18x_4)</f>
        <v>11705.53</v>
      </c>
      <c r="I80" s="1">
        <f>SUM(OSRRefD21_18x_5)</f>
        <v>3406.08</v>
      </c>
      <c r="J80" s="1">
        <f>SUM(OSRRefD21_18x_6)</f>
        <v>3619.8199999999997</v>
      </c>
      <c r="K80" s="1">
        <f>SUM(OSRRefD21_18x_7)</f>
        <v>9405.6299999999992</v>
      </c>
      <c r="L80" s="1">
        <f>SUM(OSRRefD21_18x_8)</f>
        <v>1071.1300000000001</v>
      </c>
      <c r="M80" s="1">
        <f>SUM(OSRRefD21_18x_9)</f>
        <v>4644.67</v>
      </c>
      <c r="N80" s="1">
        <f>SUM(OSRRefE21_18x_0)</f>
        <v>1900</v>
      </c>
      <c r="O80" s="1">
        <f>SUM(OSRRefE21_18x_1)</f>
        <v>1900</v>
      </c>
      <c r="Q80" s="2">
        <f>SUM(OSRRefD20_18x)+IFERROR(SUM(OSRRefE20_18x),0)</f>
        <v>67843.72</v>
      </c>
    </row>
    <row r="81" spans="1:17" s="34" customFormat="1" hidden="1" outlineLevel="1" x14ac:dyDescent="0.25">
      <c r="A81" s="35"/>
      <c r="B81" s="10" t="str">
        <f>CONCATENATE("          ","6234", " - ","EXPENDABLE SUPPLIES &amp; EQUIPMEN")</f>
        <v xml:space="preserve">          6234 - EXPENDABLE SUPPLIES &amp; EQUIPMEN</v>
      </c>
      <c r="C81" s="11"/>
      <c r="D81" s="2"/>
      <c r="E81" s="2"/>
      <c r="F81" s="2"/>
      <c r="G81" s="2">
        <v>101.34</v>
      </c>
      <c r="H81" s="2">
        <v>-550.67999999999995</v>
      </c>
      <c r="I81" s="2"/>
      <c r="J81" s="2"/>
      <c r="K81" s="2"/>
      <c r="L81" s="2"/>
      <c r="M81" s="2"/>
      <c r="N81" s="2">
        <v>100</v>
      </c>
      <c r="O81" s="2">
        <v>100</v>
      </c>
      <c r="P81" s="9"/>
      <c r="Q81" s="2">
        <f>SUM(OSRRefD21_18_0x)+IFERROR(SUM(OSRRefE21_18_0x),0)</f>
        <v>-249.33999999999992</v>
      </c>
    </row>
    <row r="82" spans="1:17" s="34" customFormat="1" hidden="1" outlineLevel="1" x14ac:dyDescent="0.25">
      <c r="A82" s="35"/>
      <c r="B82" s="10" t="str">
        <f>CONCATENATE("          ","6235", " - ","COVID-19 EXPENSES")</f>
        <v xml:space="preserve">          6235 - COVID-19 EXPENSES</v>
      </c>
      <c r="C82" s="11"/>
      <c r="D82" s="2">
        <v>4295.5200000000004</v>
      </c>
      <c r="E82" s="2">
        <v>621.78</v>
      </c>
      <c r="F82" s="2">
        <v>2195.08</v>
      </c>
      <c r="G82" s="2">
        <v>16805.12</v>
      </c>
      <c r="H82" s="2">
        <v>2491.79</v>
      </c>
      <c r="I82" s="2">
        <v>2921.2</v>
      </c>
      <c r="J82" s="2">
        <v>2921.2</v>
      </c>
      <c r="K82" s="2">
        <v>2992.14</v>
      </c>
      <c r="L82" s="2">
        <v>370.83</v>
      </c>
      <c r="M82" s="2">
        <v>3407.79</v>
      </c>
      <c r="N82" s="2">
        <v>100</v>
      </c>
      <c r="O82" s="2">
        <v>100</v>
      </c>
      <c r="P82" s="9"/>
      <c r="Q82" s="2">
        <f>SUM(OSRRefD21_18_1x)+IFERROR(SUM(OSRRefE21_18_1x),0)</f>
        <v>39222.450000000004</v>
      </c>
    </row>
    <row r="83" spans="1:17" s="34" customFormat="1" hidden="1" outlineLevel="1" x14ac:dyDescent="0.25">
      <c r="A83" s="35"/>
      <c r="B83" s="10" t="str">
        <f>CONCATENATE("          ","6237", " - ","JANITORIAL SUPPLIES")</f>
        <v xml:space="preserve">          6237 - JANITORIAL SUPPLIES</v>
      </c>
      <c r="C83" s="11"/>
      <c r="D83" s="2"/>
      <c r="E83" s="2"/>
      <c r="F83" s="2"/>
      <c r="G83" s="2">
        <v>1056.6199999999999</v>
      </c>
      <c r="H83" s="2">
        <v>246.99</v>
      </c>
      <c r="I83" s="2">
        <v>438.53</v>
      </c>
      <c r="J83" s="2">
        <v>329.77</v>
      </c>
      <c r="K83" s="2"/>
      <c r="L83" s="2">
        <v>637.59</v>
      </c>
      <c r="M83" s="2">
        <v>588.30999999999995</v>
      </c>
      <c r="N83" s="2">
        <v>200</v>
      </c>
      <c r="O83" s="2">
        <v>200</v>
      </c>
      <c r="P83" s="9"/>
      <c r="Q83" s="2">
        <f>SUM(OSRRefD21_18_2x)+IFERROR(SUM(OSRRefE21_18_2x),0)</f>
        <v>3697.81</v>
      </c>
    </row>
    <row r="84" spans="1:17" s="34" customFormat="1" hidden="1" outlineLevel="1" x14ac:dyDescent="0.25">
      <c r="A84" s="35"/>
      <c r="B84" s="10" t="str">
        <f>CONCATENATE("          ","6241", " - ","OFFICE EXPENSE")</f>
        <v xml:space="preserve">          6241 - OFFICE EXPENSE</v>
      </c>
      <c r="C84" s="11"/>
      <c r="D84" s="2">
        <v>222.37</v>
      </c>
      <c r="E84" s="2">
        <v>1807.76</v>
      </c>
      <c r="F84" s="2">
        <v>34.67</v>
      </c>
      <c r="G84" s="2">
        <v>157.15</v>
      </c>
      <c r="H84" s="2">
        <v>4.84</v>
      </c>
      <c r="I84" s="2">
        <v>47.26</v>
      </c>
      <c r="J84" s="2">
        <v>21.92</v>
      </c>
      <c r="K84" s="2">
        <v>544.01</v>
      </c>
      <c r="L84" s="2">
        <v>22.91</v>
      </c>
      <c r="M84" s="2">
        <v>9.68</v>
      </c>
      <c r="N84" s="2"/>
      <c r="O84" s="2"/>
      <c r="P84" s="9"/>
      <c r="Q84" s="2">
        <f>SUM(OSRRefD21_18_3x)+IFERROR(SUM(OSRRefE21_18_3x),0)</f>
        <v>2872.57</v>
      </c>
    </row>
    <row r="85" spans="1:17" s="34" customFormat="1" hidden="1" outlineLevel="1" x14ac:dyDescent="0.25">
      <c r="A85" s="35"/>
      <c r="B85" s="10" t="str">
        <f>CONCATENATE("          ","6245", " - ","PRINTING")</f>
        <v xml:space="preserve">          6245 - PRINTING</v>
      </c>
      <c r="C85" s="11"/>
      <c r="D85" s="2"/>
      <c r="E85" s="2"/>
      <c r="F85" s="2">
        <v>68.66</v>
      </c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SUM(OSRRefD21_18_4x)+IFERROR(SUM(OSRRefE21_18_4x),0)</f>
        <v>68.66</v>
      </c>
    </row>
    <row r="86" spans="1:17" s="34" customFormat="1" hidden="1" outlineLevel="1" x14ac:dyDescent="0.25">
      <c r="A86" s="35"/>
      <c r="B86" s="10" t="str">
        <f>CONCATENATE("          ","6247", " - ","STORE SUPPLIES")</f>
        <v xml:space="preserve">          6247 - STORE SUPPLIES</v>
      </c>
      <c r="C86" s="11"/>
      <c r="D86" s="2">
        <v>468.1</v>
      </c>
      <c r="E86" s="2">
        <v>59.39</v>
      </c>
      <c r="F86" s="2">
        <v>61.77</v>
      </c>
      <c r="G86" s="2">
        <v>2235.5300000000002</v>
      </c>
      <c r="H86" s="2">
        <v>9512.59</v>
      </c>
      <c r="I86" s="2">
        <v>-0.91</v>
      </c>
      <c r="J86" s="2">
        <v>346.93</v>
      </c>
      <c r="K86" s="2">
        <v>5869.48</v>
      </c>
      <c r="L86" s="2">
        <v>39.799999999999997</v>
      </c>
      <c r="M86" s="2">
        <v>638.89</v>
      </c>
      <c r="N86" s="2">
        <v>500</v>
      </c>
      <c r="O86" s="2">
        <v>500</v>
      </c>
      <c r="P86" s="9"/>
      <c r="Q86" s="2">
        <f>SUM(OSRRefD21_18_5x)+IFERROR(SUM(OSRRefE21_18_5x),0)</f>
        <v>20231.57</v>
      </c>
    </row>
    <row r="87" spans="1:17" s="34" customFormat="1" hidden="1" outlineLevel="1" x14ac:dyDescent="0.25">
      <c r="A87" s="35"/>
      <c r="B87" s="10" t="str">
        <f>CONCATENATE("          ","6248", " - ","UNIFORMS")</f>
        <v xml:space="preserve">          6248 - UNIFORMS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>
        <v>1000</v>
      </c>
      <c r="O87" s="2">
        <v>1000</v>
      </c>
      <c r="P87" s="9"/>
      <c r="Q87" s="2">
        <f>SUM(OSRRefD21_18_6x)+IFERROR(SUM(OSRRefE21_18_6x),0)</f>
        <v>2000</v>
      </c>
    </row>
    <row r="88" spans="1:17" s="34" customFormat="1" collapsed="1" x14ac:dyDescent="0.25">
      <c r="A88" s="35"/>
      <c r="B88" s="11" t="str">
        <f>CONCATENATE("     ","Telephone/Data Lines                              ")</f>
        <v xml:space="preserve">     Telephone/Data Lines                              </v>
      </c>
      <c r="C88" s="11"/>
      <c r="D88" s="1">
        <f>SUM(OSRRefD21_19x_0)</f>
        <v>567.21</v>
      </c>
      <c r="E88" s="1">
        <f>SUM(OSRRefD21_19x_1)</f>
        <v>607.41</v>
      </c>
      <c r="F88" s="1">
        <f>SUM(OSRRefD21_19x_2)</f>
        <v>799.06</v>
      </c>
      <c r="G88" s="1">
        <f>SUM(OSRRefD21_19x_3)</f>
        <v>680.45</v>
      </c>
      <c r="H88" s="1">
        <f>SUM(OSRRefD21_19x_4)</f>
        <v>499.15</v>
      </c>
      <c r="I88" s="1">
        <f>SUM(OSRRefD21_19x_5)</f>
        <v>579.66</v>
      </c>
      <c r="J88" s="1">
        <f>SUM(OSRRefD21_19x_6)</f>
        <v>473.32</v>
      </c>
      <c r="K88" s="1">
        <f>SUM(OSRRefD21_19x_7)</f>
        <v>463.61</v>
      </c>
      <c r="L88" s="1">
        <f>SUM(OSRRefD21_19x_8)</f>
        <v>559.66999999999996</v>
      </c>
      <c r="M88" s="1">
        <f>SUM(OSRRefD21_19x_9)</f>
        <v>493.71</v>
      </c>
      <c r="N88" s="1">
        <f>SUM(OSRRefE21_19x_0)</f>
        <v>600</v>
      </c>
      <c r="O88" s="1">
        <f>SUM(OSRRefE21_19x_1)</f>
        <v>600</v>
      </c>
      <c r="Q88" s="2">
        <f>SUM(OSRRefD20_19x)+IFERROR(SUM(OSRRefE20_19x),0)</f>
        <v>6923.25</v>
      </c>
    </row>
    <row r="89" spans="1:17" s="34" customFormat="1" hidden="1" outlineLevel="1" x14ac:dyDescent="0.25">
      <c r="A89" s="35"/>
      <c r="B89" s="10" t="str">
        <f>CONCATENATE("          ","6309", " - ","TELEPHONE")</f>
        <v xml:space="preserve">          6309 - TELEPHONE</v>
      </c>
      <c r="C89" s="11"/>
      <c r="D89" s="2">
        <v>567.21</v>
      </c>
      <c r="E89" s="2">
        <v>607.41</v>
      </c>
      <c r="F89" s="2">
        <v>799.06</v>
      </c>
      <c r="G89" s="2">
        <v>680.45</v>
      </c>
      <c r="H89" s="2">
        <v>499.15</v>
      </c>
      <c r="I89" s="2">
        <v>579.66</v>
      </c>
      <c r="J89" s="2">
        <v>473.32</v>
      </c>
      <c r="K89" s="2">
        <v>463.61</v>
      </c>
      <c r="L89" s="2">
        <v>559.66999999999996</v>
      </c>
      <c r="M89" s="2">
        <v>493.71</v>
      </c>
      <c r="N89" s="2">
        <v>600</v>
      </c>
      <c r="O89" s="2">
        <v>600</v>
      </c>
      <c r="P89" s="9"/>
      <c r="Q89" s="2">
        <f>SUM(OSRRefD21_19_0x)+IFERROR(SUM(OSRRefE21_19_0x),0)</f>
        <v>6923.25</v>
      </c>
    </row>
    <row r="90" spans="1:17" s="34" customFormat="1" collapsed="1" x14ac:dyDescent="0.25">
      <c r="A90" s="35"/>
      <c r="B90" s="11" t="str">
        <f>CONCATENATE("     ","Training                                          ")</f>
        <v xml:space="preserve">     Training                                          </v>
      </c>
      <c r="C90" s="11"/>
      <c r="D90" s="1">
        <f>SUM(OSRRefD21_20x_0)</f>
        <v>131.63</v>
      </c>
      <c r="E90" s="1">
        <f>SUM(OSRRefD21_20x_1)</f>
        <v>0</v>
      </c>
      <c r="F90" s="1">
        <f>SUM(OSRRefD21_20x_2)</f>
        <v>0</v>
      </c>
      <c r="G90" s="1">
        <f>SUM(OSRRefD21_20x_3)</f>
        <v>0</v>
      </c>
      <c r="H90" s="1">
        <f>SUM(OSRRefD21_20x_4)</f>
        <v>0</v>
      </c>
      <c r="I90" s="1">
        <f>SUM(OSRRefD21_20x_5)</f>
        <v>0</v>
      </c>
      <c r="J90" s="1">
        <f>SUM(OSRRefD21_20x_6)</f>
        <v>0</v>
      </c>
      <c r="K90" s="1">
        <f>SUM(OSRRefD21_20x_7)</f>
        <v>750</v>
      </c>
      <c r="L90" s="1">
        <f>SUM(OSRRefD21_20x_8)</f>
        <v>0</v>
      </c>
      <c r="M90" s="1">
        <f>SUM(OSRRefD21_20x_9)</f>
        <v>0</v>
      </c>
      <c r="N90" s="1">
        <f>SUM(OSRRefE21_20x_0)</f>
        <v>0</v>
      </c>
      <c r="O90" s="1">
        <f>SUM(OSRRefE21_20x_1)</f>
        <v>0</v>
      </c>
      <c r="Q90" s="2">
        <f>SUM(OSRRefD20_20x)+IFERROR(SUM(OSRRefE20_20x),0)</f>
        <v>881.63</v>
      </c>
    </row>
    <row r="91" spans="1:17" s="34" customFormat="1" hidden="1" outlineLevel="1" x14ac:dyDescent="0.25">
      <c r="A91" s="35"/>
      <c r="B91" s="10" t="str">
        <f>CONCATENATE("          ","6376", " - ","TRAINING")</f>
        <v xml:space="preserve">          6376 - TRAINING</v>
      </c>
      <c r="C91" s="11"/>
      <c r="D91" s="2">
        <v>131.63</v>
      </c>
      <c r="E91" s="2"/>
      <c r="F91" s="2"/>
      <c r="G91" s="2"/>
      <c r="H91" s="2"/>
      <c r="I91" s="2"/>
      <c r="J91" s="2"/>
      <c r="K91" s="2">
        <v>750</v>
      </c>
      <c r="L91" s="2"/>
      <c r="M91" s="2"/>
      <c r="N91" s="2"/>
      <c r="O91" s="2"/>
      <c r="P91" s="9"/>
      <c r="Q91" s="2">
        <f>SUM(OSRRefD21_20_0x)+IFERROR(SUM(OSRRefE21_20_0x),0)</f>
        <v>881.63</v>
      </c>
    </row>
    <row r="92" spans="1:17" s="34" customFormat="1" collapsed="1" x14ac:dyDescent="0.25">
      <c r="A92" s="35"/>
      <c r="B92" s="11" t="str">
        <f>CONCATENATE("     ","Travel                                            ")</f>
        <v xml:space="preserve">     Travel                                            </v>
      </c>
      <c r="C92" s="11"/>
      <c r="D92" s="1">
        <f>SUM(OSRRefD21_21x_0)</f>
        <v>59.89</v>
      </c>
      <c r="E92" s="1">
        <f>SUM(OSRRefD21_21x_1)</f>
        <v>0</v>
      </c>
      <c r="F92" s="1">
        <f>SUM(OSRRefD21_21x_2)</f>
        <v>0</v>
      </c>
      <c r="G92" s="1">
        <f>SUM(OSRRefD21_21x_3)</f>
        <v>0</v>
      </c>
      <c r="H92" s="1">
        <f>SUM(OSRRefD21_21x_4)</f>
        <v>299</v>
      </c>
      <c r="I92" s="1">
        <f>SUM(OSRRefD21_21x_5)</f>
        <v>0</v>
      </c>
      <c r="J92" s="1">
        <f>SUM(OSRRefD21_21x_6)</f>
        <v>0</v>
      </c>
      <c r="K92" s="1">
        <f>SUM(OSRRefD21_21x_7)</f>
        <v>0</v>
      </c>
      <c r="L92" s="1">
        <f>SUM(OSRRefD21_21x_8)</f>
        <v>0</v>
      </c>
      <c r="M92" s="1">
        <f>SUM(OSRRefD21_21x_9)</f>
        <v>0</v>
      </c>
      <c r="N92" s="1">
        <f>SUM(OSRRefE21_21x_0)</f>
        <v>0</v>
      </c>
      <c r="O92" s="1">
        <f>SUM(OSRRefE21_21x_1)</f>
        <v>0</v>
      </c>
      <c r="Q92" s="2">
        <f>SUM(OSRRefD20_21x)+IFERROR(SUM(OSRRefE20_21x),0)</f>
        <v>358.89</v>
      </c>
    </row>
    <row r="93" spans="1:17" s="34" customFormat="1" hidden="1" outlineLevel="1" x14ac:dyDescent="0.25">
      <c r="A93" s="35"/>
      <c r="B93" s="10" t="str">
        <f>CONCATENATE("          ","6292", " - ","TRAVEL/CONFERENCE")</f>
        <v xml:space="preserve">          6292 - TRAVEL/CONFERENCE</v>
      </c>
      <c r="C93" s="11"/>
      <c r="D93" s="2"/>
      <c r="E93" s="2"/>
      <c r="F93" s="2"/>
      <c r="G93" s="2"/>
      <c r="H93" s="2">
        <v>299</v>
      </c>
      <c r="I93" s="2"/>
      <c r="J93" s="2"/>
      <c r="K93" s="2"/>
      <c r="L93" s="2"/>
      <c r="M93" s="2"/>
      <c r="N93" s="2"/>
      <c r="O93" s="2"/>
      <c r="P93" s="9"/>
      <c r="Q93" s="2">
        <f>SUM(OSRRefD21_21_0x)+IFERROR(SUM(OSRRefE21_21_0x),0)</f>
        <v>299</v>
      </c>
    </row>
    <row r="94" spans="1:17" s="34" customFormat="1" hidden="1" outlineLevel="1" x14ac:dyDescent="0.25">
      <c r="A94" s="35"/>
      <c r="B94" s="10" t="str">
        <f>CONCATENATE("          ","6298", " - ","VEHICLE MILEAGE")</f>
        <v xml:space="preserve">          6298 - VEHICLE MILEAGE</v>
      </c>
      <c r="C94" s="11"/>
      <c r="D94" s="2">
        <v>59.89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9"/>
      <c r="Q94" s="2">
        <f>SUM(OSRRefD21_21_1x)+IFERROR(SUM(OSRRefE21_21_1x),0)</f>
        <v>59.89</v>
      </c>
    </row>
    <row r="95" spans="1:17" s="34" customFormat="1" collapsed="1" x14ac:dyDescent="0.25">
      <c r="A95" s="35"/>
      <c r="B95" s="11" t="str">
        <f>CONCATENATE("     ","Utilities                                         ")</f>
        <v xml:space="preserve">     Utilities                                         </v>
      </c>
      <c r="C95" s="11"/>
      <c r="D95" s="1">
        <f>SUM(OSRRefD21_22x_0)</f>
        <v>6133</v>
      </c>
      <c r="E95" s="1">
        <f>SUM(OSRRefD21_22x_1)</f>
        <v>6133</v>
      </c>
      <c r="F95" s="1">
        <f>SUM(OSRRefD21_22x_2)</f>
        <v>6133</v>
      </c>
      <c r="G95" s="1">
        <f>SUM(OSRRefD21_22x_3)</f>
        <v>5937</v>
      </c>
      <c r="H95" s="1">
        <f>SUM(OSRRefD21_22x_4)</f>
        <v>6133</v>
      </c>
      <c r="I95" s="1">
        <f>SUM(OSRRefD21_22x_5)</f>
        <v>6133</v>
      </c>
      <c r="J95" s="1">
        <f>SUM(OSRRefD21_22x_6)</f>
        <v>6133</v>
      </c>
      <c r="K95" s="1">
        <f>SUM(OSRRefD21_22x_7)</f>
        <v>6133</v>
      </c>
      <c r="L95" s="1">
        <f>SUM(OSRRefD21_22x_8)</f>
        <v>3399</v>
      </c>
      <c r="M95" s="1">
        <f>SUM(OSRRefD21_22x_9)</f>
        <v>6133</v>
      </c>
      <c r="N95" s="1">
        <f>SUM(OSRRefE21_22x_0)</f>
        <v>6000</v>
      </c>
      <c r="O95" s="1">
        <f>SUM(OSRRefE21_22x_1)</f>
        <v>6000</v>
      </c>
      <c r="Q95" s="2">
        <f>SUM(OSRRefD20_22x)+IFERROR(SUM(OSRRefE20_22x),0)</f>
        <v>70400</v>
      </c>
    </row>
    <row r="96" spans="1:17" s="34" customFormat="1" hidden="1" outlineLevel="1" x14ac:dyDescent="0.25">
      <c r="A96" s="35"/>
      <c r="B96" s="10" t="str">
        <f>CONCATENATE("          ","6274", " - ","UTILITIES")</f>
        <v xml:space="preserve">          6274 - UTILITIES</v>
      </c>
      <c r="C96" s="11"/>
      <c r="D96" s="2">
        <v>6133</v>
      </c>
      <c r="E96" s="2">
        <v>6133</v>
      </c>
      <c r="F96" s="2">
        <v>6133</v>
      </c>
      <c r="G96" s="2">
        <v>5937</v>
      </c>
      <c r="H96" s="2">
        <v>6133</v>
      </c>
      <c r="I96" s="2">
        <v>6133</v>
      </c>
      <c r="J96" s="2">
        <v>6133</v>
      </c>
      <c r="K96" s="2">
        <v>6133</v>
      </c>
      <c r="L96" s="2">
        <v>3399</v>
      </c>
      <c r="M96" s="2">
        <v>6133</v>
      </c>
      <c r="N96" s="2">
        <v>6000</v>
      </c>
      <c r="O96" s="2">
        <v>6000</v>
      </c>
      <c r="P96" s="9"/>
      <c r="Q96" s="2">
        <f>SUM(OSRRefD21_22_0x)+IFERROR(SUM(OSRRefE21_22_0x),0)</f>
        <v>70400</v>
      </c>
    </row>
    <row r="97" spans="1:17" s="30" customFormat="1" x14ac:dyDescent="0.25">
      <c r="A97" s="21"/>
      <c r="B97" s="21"/>
      <c r="C97" s="2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Q97" s="1"/>
    </row>
    <row r="98" spans="1:17" s="9" customFormat="1" x14ac:dyDescent="0.25">
      <c r="A98" s="23"/>
      <c r="B98" s="16" t="s">
        <v>291</v>
      </c>
      <c r="C98" s="22"/>
      <c r="D98" s="3">
        <f>--17025.31</f>
        <v>17025.310000000001</v>
      </c>
      <c r="E98" s="3">
        <f>--48195.62</f>
        <v>48195.62</v>
      </c>
      <c r="F98" s="3">
        <f>--2929.62</f>
        <v>2929.62</v>
      </c>
      <c r="G98" s="3">
        <f>--2561.17</f>
        <v>2561.17</v>
      </c>
      <c r="H98" s="3">
        <f>--49798.51</f>
        <v>49798.51</v>
      </c>
      <c r="I98" s="3">
        <f>--3213.65</f>
        <v>3213.65</v>
      </c>
      <c r="J98" s="3">
        <f>--2579.89</f>
        <v>2579.89</v>
      </c>
      <c r="K98" s="3">
        <f>--48964.67</f>
        <v>48964.67</v>
      </c>
      <c r="L98" s="3">
        <f>--2385.89</f>
        <v>2385.89</v>
      </c>
      <c r="M98" s="3">
        <f>--5385.99</f>
        <v>5385.99</v>
      </c>
      <c r="N98" s="3">
        <v>-11300</v>
      </c>
      <c r="O98" s="3">
        <v>-11300</v>
      </c>
      <c r="Q98" s="2">
        <f>SUM(OSRRefD23_0x)+IFERROR(SUM(OSRRefE23_0x),0)</f>
        <v>160440.32000000001</v>
      </c>
    </row>
    <row r="99" spans="1:17" x14ac:dyDescent="0.25">
      <c r="A99" s="5"/>
      <c r="B99" s="6"/>
      <c r="C99" s="6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25">
      <c r="A100" s="6"/>
      <c r="B100" s="17" t="s">
        <v>274</v>
      </c>
      <c r="C100" s="17"/>
      <c r="D100" s="8">
        <f t="shared" ref="D100:O100" si="3">IFERROR(+D15-D18+D98, 0)</f>
        <v>-148391.38999999998</v>
      </c>
      <c r="E100" s="8">
        <f t="shared" si="3"/>
        <v>-93767.039999999979</v>
      </c>
      <c r="F100" s="8">
        <f t="shared" si="3"/>
        <v>-106296.05999999997</v>
      </c>
      <c r="G100" s="8">
        <f t="shared" si="3"/>
        <v>-115924.29999999997</v>
      </c>
      <c r="H100" s="8">
        <f t="shared" si="3"/>
        <v>-46503.089999999975</v>
      </c>
      <c r="I100" s="8">
        <f t="shared" si="3"/>
        <v>-98482.38</v>
      </c>
      <c r="J100" s="8">
        <f t="shared" si="3"/>
        <v>-140379.47999999998</v>
      </c>
      <c r="K100" s="8">
        <f t="shared" si="3"/>
        <v>-74533.72</v>
      </c>
      <c r="L100" s="8">
        <f t="shared" si="3"/>
        <v>-93484.13</v>
      </c>
      <c r="M100" s="8">
        <f t="shared" si="3"/>
        <v>-100836.93999999999</v>
      </c>
      <c r="N100" s="8">
        <f t="shared" si="3"/>
        <v>-119889.94645733846</v>
      </c>
      <c r="O100" s="8">
        <f t="shared" si="3"/>
        <v>-109680.00893913847</v>
      </c>
      <c r="Q100" s="8">
        <f>IFERROR(+Q15-Q18+Q98, 0)</f>
        <v>-1248168.4853964767</v>
      </c>
    </row>
    <row r="101" spans="1:17" s="6" customFormat="1" x14ac:dyDescent="0.25">
      <c r="B101" s="16"/>
      <c r="C101" s="16"/>
      <c r="D101" s="4">
        <f t="shared" ref="D101:O101" si="4">IFERROR(D100/D10, 0)</f>
        <v>0</v>
      </c>
      <c r="E101" s="4">
        <f t="shared" si="4"/>
        <v>0</v>
      </c>
      <c r="F101" s="4">
        <f t="shared" si="4"/>
        <v>0</v>
      </c>
      <c r="G101" s="4">
        <f t="shared" si="4"/>
        <v>0</v>
      </c>
      <c r="H101" s="4">
        <f t="shared" si="4"/>
        <v>0</v>
      </c>
      <c r="I101" s="4">
        <f t="shared" si="4"/>
        <v>0</v>
      </c>
      <c r="J101" s="4">
        <f t="shared" si="4"/>
        <v>0</v>
      </c>
      <c r="K101" s="4">
        <f t="shared" si="4"/>
        <v>0</v>
      </c>
      <c r="L101" s="4">
        <f t="shared" si="4"/>
        <v>0</v>
      </c>
      <c r="M101" s="4">
        <f t="shared" si="4"/>
        <v>0</v>
      </c>
      <c r="N101" s="4">
        <f t="shared" si="4"/>
        <v>0</v>
      </c>
      <c r="O101" s="4">
        <f t="shared" si="4"/>
        <v>0</v>
      </c>
      <c r="P101" s="18"/>
      <c r="Q101" s="4">
        <f>IFERROR(Q100/Q10, 0)</f>
        <v>0</v>
      </c>
    </row>
    <row r="102" spans="1:17" x14ac:dyDescent="0.25">
      <c r="A102" s="5"/>
      <c r="B102" s="6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25"/>
      <c r="B103" s="6" t="s">
        <v>125</v>
      </c>
      <c r="C103" s="6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2">
        <f>SUM(OSRRefD28_0x)+IFERROR(SUM(OSRRefE28_0x),0)</f>
        <v>0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.75" thickBot="1" x14ac:dyDescent="0.3">
      <c r="A105" s="6"/>
      <c r="B105" s="17" t="s">
        <v>124</v>
      </c>
      <c r="C105" s="17"/>
      <c r="D105" s="7">
        <f t="shared" ref="D105:O105" si="5">IFERROR(+D100-D103, 0)</f>
        <v>-148391.38999999998</v>
      </c>
      <c r="E105" s="7">
        <f t="shared" si="5"/>
        <v>-93767.039999999979</v>
      </c>
      <c r="F105" s="7">
        <f t="shared" si="5"/>
        <v>-106296.05999999997</v>
      </c>
      <c r="G105" s="7">
        <f t="shared" si="5"/>
        <v>-115924.29999999997</v>
      </c>
      <c r="H105" s="7">
        <f t="shared" si="5"/>
        <v>-46503.089999999975</v>
      </c>
      <c r="I105" s="7">
        <f t="shared" si="5"/>
        <v>-98482.38</v>
      </c>
      <c r="J105" s="7">
        <f t="shared" si="5"/>
        <v>-140379.47999999998</v>
      </c>
      <c r="K105" s="7">
        <f t="shared" si="5"/>
        <v>-74533.72</v>
      </c>
      <c r="L105" s="7">
        <f t="shared" si="5"/>
        <v>-93484.13</v>
      </c>
      <c r="M105" s="7">
        <f t="shared" si="5"/>
        <v>-100836.93999999999</v>
      </c>
      <c r="N105" s="7">
        <f t="shared" si="5"/>
        <v>-119889.94645733846</v>
      </c>
      <c r="O105" s="7">
        <f t="shared" si="5"/>
        <v>-109680.00893913847</v>
      </c>
      <c r="Q105" s="7">
        <f>IFERROR(+Q100-Q103, 0)</f>
        <v>-1248168.4853964767</v>
      </c>
    </row>
    <row r="106" spans="1:17" ht="15.75" thickTop="1" x14ac:dyDescent="0.25">
      <c r="A106" s="5"/>
      <c r="B106" s="5"/>
      <c r="C106" s="5"/>
      <c r="D106" s="4">
        <f t="shared" ref="D106:O106" si="6">IFERROR(D105/D10, 0)</f>
        <v>0</v>
      </c>
      <c r="E106" s="4">
        <f t="shared" si="6"/>
        <v>0</v>
      </c>
      <c r="F106" s="4">
        <f t="shared" si="6"/>
        <v>0</v>
      </c>
      <c r="G106" s="4">
        <f t="shared" si="6"/>
        <v>0</v>
      </c>
      <c r="H106" s="4">
        <f t="shared" si="6"/>
        <v>0</v>
      </c>
      <c r="I106" s="4">
        <f t="shared" si="6"/>
        <v>0</v>
      </c>
      <c r="J106" s="4">
        <f t="shared" si="6"/>
        <v>0</v>
      </c>
      <c r="K106" s="4">
        <f t="shared" si="6"/>
        <v>0</v>
      </c>
      <c r="L106" s="4">
        <f t="shared" si="6"/>
        <v>0</v>
      </c>
      <c r="M106" s="4">
        <f t="shared" si="6"/>
        <v>0</v>
      </c>
      <c r="N106" s="4">
        <f t="shared" si="6"/>
        <v>0</v>
      </c>
      <c r="O106" s="4">
        <f t="shared" si="6"/>
        <v>0</v>
      </c>
      <c r="P106" s="18"/>
      <c r="Q106" s="4">
        <f>IFERROR(Q105/Q10, 0)</f>
        <v>0</v>
      </c>
    </row>
    <row r="107" spans="1:17" x14ac:dyDescent="0.2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x14ac:dyDescent="0.25">
      <c r="A108" s="5"/>
      <c r="B108" s="5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ht="15.75" thickBot="1" x14ac:dyDescent="0.3">
      <c r="A109" s="6"/>
      <c r="B109" s="17" t="s">
        <v>292</v>
      </c>
      <c r="C109" s="17"/>
      <c r="D109" s="7">
        <f t="shared" ref="D109:O109" si="7">IFERROR(SUM(D105:D108), 0)</f>
        <v>-148391.38999999998</v>
      </c>
      <c r="E109" s="7">
        <f t="shared" si="7"/>
        <v>-93767.039999999979</v>
      </c>
      <c r="F109" s="7">
        <f t="shared" si="7"/>
        <v>-106296.05999999997</v>
      </c>
      <c r="G109" s="7">
        <f t="shared" si="7"/>
        <v>-115924.29999999997</v>
      </c>
      <c r="H109" s="7">
        <f t="shared" si="7"/>
        <v>-46503.089999999975</v>
      </c>
      <c r="I109" s="7">
        <f t="shared" si="7"/>
        <v>-98482.38</v>
      </c>
      <c r="J109" s="7">
        <f t="shared" si="7"/>
        <v>-140379.47999999998</v>
      </c>
      <c r="K109" s="7">
        <f t="shared" si="7"/>
        <v>-74533.72</v>
      </c>
      <c r="L109" s="7">
        <f t="shared" si="7"/>
        <v>-93484.13</v>
      </c>
      <c r="M109" s="7">
        <f t="shared" si="7"/>
        <v>-100836.93999999999</v>
      </c>
      <c r="N109" s="7">
        <f t="shared" si="7"/>
        <v>-119889.94645733846</v>
      </c>
      <c r="O109" s="7">
        <f t="shared" si="7"/>
        <v>-109680.00893913847</v>
      </c>
      <c r="Q109" s="7">
        <f>IFERROR(SUM(Q105:Q108), 0)</f>
        <v>-1248168.4853964767</v>
      </c>
    </row>
    <row r="110" spans="1:17" ht="15.75" thickTop="1" x14ac:dyDescent="0.25">
      <c r="A110" s="5"/>
      <c r="C110" s="5"/>
      <c r="D110" s="4">
        <f t="shared" ref="D110:O110" si="8">IFERROR(D109/D10, 0)</f>
        <v>0</v>
      </c>
      <c r="E110" s="4">
        <f t="shared" si="8"/>
        <v>0</v>
      </c>
      <c r="F110" s="4">
        <f t="shared" si="8"/>
        <v>0</v>
      </c>
      <c r="G110" s="4">
        <f t="shared" si="8"/>
        <v>0</v>
      </c>
      <c r="H110" s="4">
        <f t="shared" si="8"/>
        <v>0</v>
      </c>
      <c r="I110" s="4">
        <f t="shared" si="8"/>
        <v>0</v>
      </c>
      <c r="J110" s="4">
        <f t="shared" si="8"/>
        <v>0</v>
      </c>
      <c r="K110" s="4">
        <f t="shared" si="8"/>
        <v>0</v>
      </c>
      <c r="L110" s="4">
        <f t="shared" si="8"/>
        <v>0</v>
      </c>
      <c r="M110" s="4">
        <f t="shared" si="8"/>
        <v>0</v>
      </c>
      <c r="N110" s="4">
        <f t="shared" si="8"/>
        <v>0</v>
      </c>
      <c r="O110" s="4">
        <f t="shared" si="8"/>
        <v>0</v>
      </c>
      <c r="P110" s="18"/>
      <c r="Q110" s="4">
        <f>IFERROR(Q109/Q10, 0)</f>
        <v>0</v>
      </c>
    </row>
    <row r="111" spans="1:17" x14ac:dyDescent="0.25">
      <c r="A111" s="5"/>
      <c r="B111" s="27">
        <v>44330.012769791669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  <row r="112" spans="1:17" x14ac:dyDescent="0.25">
      <c r="A112" s="5"/>
      <c r="B112" s="31" t="s">
        <v>54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Q112" s="13"/>
    </row>
    <row r="113" spans="1:17" x14ac:dyDescent="0.25">
      <c r="A113" s="5"/>
      <c r="B113" s="26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Q113" s="13"/>
    </row>
    <row r="114" spans="1:17" x14ac:dyDescent="0.25"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Q11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","306", " - ", "Warehouse")</f>
        <v>Department 306 - Warehouse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0.23</v>
      </c>
      <c r="E17" s="14">
        <f>SUM(OSRRefD20x_1)</f>
        <v>0</v>
      </c>
      <c r="F17" s="14">
        <f>SUM(OSRRefD20x_2)</f>
        <v>0</v>
      </c>
      <c r="G17" s="14">
        <f>SUM(OSRRefD20x_3)</f>
        <v>0</v>
      </c>
      <c r="H17" s="14">
        <f>SUM(OSRRefD20x_4)</f>
        <v>0.14000000000000001</v>
      </c>
      <c r="I17" s="14">
        <f>SUM(OSRRefD20x_5)</f>
        <v>0</v>
      </c>
      <c r="J17" s="14">
        <f>SUM(OSRRefD20x_6)</f>
        <v>0</v>
      </c>
      <c r="K17" s="14">
        <f>SUM(OSRRefD20x_7)</f>
        <v>0</v>
      </c>
      <c r="L17" s="14">
        <f>SUM(OSRRefD20x_8)</f>
        <v>0</v>
      </c>
      <c r="M17" s="14">
        <f>SUM(OSRRefD20x_9)</f>
        <v>0</v>
      </c>
      <c r="N17" s="14">
        <f>SUM(OSRRefE20x_0)</f>
        <v>0</v>
      </c>
      <c r="O17" s="14">
        <f>SUM(OSRRefE20x_1)</f>
        <v>0</v>
      </c>
      <c r="Q17" s="14">
        <f>SUM(OSRRefG20x)</f>
        <v>0.37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0.14000000000000001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SUM(OSRRefE21_0x_0)</f>
        <v>0</v>
      </c>
      <c r="O18" s="1">
        <f>SUM(OSRRefE21_0x_1)</f>
        <v>0</v>
      </c>
      <c r="Q18" s="2">
        <f>SUM(OSRRefD20_0x)+IFERROR(SUM(OSRRefE20_0x),0)</f>
        <v>0.14000000000000001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401.9</v>
      </c>
      <c r="E19" s="2"/>
      <c r="F19" s="2"/>
      <c r="G19" s="2"/>
      <c r="H19" s="2">
        <v>0.14000000000000001</v>
      </c>
      <c r="I19" s="2"/>
      <c r="J19" s="2"/>
      <c r="K19" s="2"/>
      <c r="L19" s="2"/>
      <c r="M19" s="2"/>
      <c r="N19" s="2">
        <v>0</v>
      </c>
      <c r="O19" s="2">
        <v>0</v>
      </c>
      <c r="P19" s="9"/>
      <c r="Q19" s="2">
        <f>SUM(OSRRefD21_0_0x)+IFERROR(SUM(OSRRefE21_0_0x),0)</f>
        <v>402.03999999999996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0</v>
      </c>
      <c r="E21" s="2"/>
      <c r="F21" s="2"/>
      <c r="G21" s="2"/>
      <c r="H21" s="2"/>
      <c r="I21" s="2"/>
      <c r="J21" s="2"/>
      <c r="K21" s="2"/>
      <c r="L21" s="2"/>
      <c r="M21" s="2"/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0</v>
      </c>
      <c r="E23" s="2"/>
      <c r="F23" s="2"/>
      <c r="G23" s="2"/>
      <c r="H23" s="2"/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>
        <v>-401.9</v>
      </c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-401.9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SUM(OSRRefD21_0_8x)+IFERROR(SUM(OSRRefE21_0_8x),0)</f>
        <v>0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0.23</v>
      </c>
      <c r="E28" s="1">
        <f>SUM(OSRRefD21_1x_1)</f>
        <v>0</v>
      </c>
      <c r="F28" s="1">
        <f>SUM(OSRRefD21_1x_2)</f>
        <v>0</v>
      </c>
      <c r="G28" s="1">
        <f>SUM(OSRRefD21_1x_3)</f>
        <v>0</v>
      </c>
      <c r="H28" s="1">
        <f>SUM(OSRRefD21_1x_4)</f>
        <v>0</v>
      </c>
      <c r="I28" s="1">
        <f>SUM(OSRRefD21_1x_5)</f>
        <v>0</v>
      </c>
      <c r="J28" s="1">
        <f>SUM(OSRRefD21_1x_6)</f>
        <v>0</v>
      </c>
      <c r="K28" s="1">
        <f>SUM(OSRRefD21_1x_7)</f>
        <v>0</v>
      </c>
      <c r="L28" s="1">
        <f>SUM(OSRRefD21_1x_8)</f>
        <v>0</v>
      </c>
      <c r="M28" s="1">
        <f>SUM(OSRRefD21_1x_9)</f>
        <v>0</v>
      </c>
      <c r="N28" s="1">
        <f>SUM(OSRRefE21_1x_0)</f>
        <v>0</v>
      </c>
      <c r="O28" s="1">
        <f>SUM(OSRRefE21_1x_1)</f>
        <v>0</v>
      </c>
      <c r="Q28" s="2">
        <f>SUM(OSRRefD20_1x)+IFERROR(SUM(OSRRefE20_1x),0)</f>
        <v>0.23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>
        <v>0.23</v>
      </c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SUM(OSRRefD21_1_3x)+IFERROR(SUM(OSRRefE21_1_3x),0)</f>
        <v>0.23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>
        <v>0</v>
      </c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","Employees' Appreciation                           ")</f>
        <v xml:space="preserve">     Employees' Appreciation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SUM(OSRRefE21_2x_0)</f>
        <v>0</v>
      </c>
      <c r="O39" s="1">
        <f>SUM(OSRRefE21_2x_1)</f>
        <v>0</v>
      </c>
      <c r="Q39" s="2">
        <f>SUM(OSRRefD20_2x)+IFERROR(SUM(OSRRefE20_2x),0)</f>
        <v>0</v>
      </c>
    </row>
    <row r="40" spans="1:17" s="34" customFormat="1" hidden="1" outlineLevel="1" x14ac:dyDescent="0.25">
      <c r="A40" s="35"/>
      <c r="B40" s="10" t="str">
        <f>CONCATENATE("          ","6277", " - ","EMPLOYEE APPRECIATION")</f>
        <v xml:space="preserve">          6277 - EMPLOYEE APPRECIATION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4" customFormat="1" collapsed="1" x14ac:dyDescent="0.25">
      <c r="A41" s="35"/>
      <c r="B41" s="11" t="str">
        <f>CONCATENATE("     ","Equipment Rental                                  ")</f>
        <v xml:space="preserve">     Equipment Rental                                  </v>
      </c>
      <c r="C41" s="11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SUM(OSRRefD21_3x_6)</f>
        <v>0</v>
      </c>
      <c r="K41" s="1">
        <f>SUM(OSRRefD21_3x_7)</f>
        <v>0</v>
      </c>
      <c r="L41" s="1">
        <f>SUM(OSRRefD21_3x_8)</f>
        <v>0</v>
      </c>
      <c r="M41" s="1">
        <f>SUM(OSRRefD21_3x_9)</f>
        <v>0</v>
      </c>
      <c r="N41" s="1">
        <f>SUM(OSRRefE21_3x_0)</f>
        <v>0</v>
      </c>
      <c r="O41" s="1">
        <f>SUM(OSRRefE21_3x_1)</f>
        <v>0</v>
      </c>
      <c r="Q41" s="2">
        <f>SUM(OSRRefD20_3x)+IFERROR(SUM(OSRRefE20_3x),0)</f>
        <v>0</v>
      </c>
    </row>
    <row r="42" spans="1:17" s="34" customFormat="1" hidden="1" outlineLevel="1" x14ac:dyDescent="0.25">
      <c r="A42" s="35"/>
      <c r="B42" s="10" t="str">
        <f>CONCATENATE("          ","6351", " - ","EQUIPMENT RENTAL")</f>
        <v xml:space="preserve">          6351 - EQUIPMENT RENTAL</v>
      </c>
      <c r="C42" s="11"/>
      <c r="D42" s="2"/>
      <c r="E42" s="2">
        <v>0</v>
      </c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SUM(OSRRefD21_3_0x)+IFERROR(SUM(OSRRefE21_3_0x),0)</f>
        <v>0</v>
      </c>
    </row>
    <row r="43" spans="1:17" s="34" customFormat="1" collapsed="1" x14ac:dyDescent="0.25">
      <c r="A43" s="35"/>
      <c r="B43" s="11" t="str">
        <f>CONCATENATE("     ","Freight out/Postage                               ")</f>
        <v xml:space="preserve">     Freight out/Postage   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0</v>
      </c>
      <c r="N43" s="1">
        <f>SUM(OSRRefE21_4x_0)</f>
        <v>0</v>
      </c>
      <c r="O43" s="1">
        <f>SUM(OSRRefE21_4x_1)</f>
        <v>0</v>
      </c>
      <c r="Q43" s="2">
        <f>SUM(OSRRefD20_4x)+IFERROR(SUM(OSRRefE20_4x),0)</f>
        <v>0</v>
      </c>
    </row>
    <row r="44" spans="1:17" s="34" customFormat="1" hidden="1" outlineLevel="1" x14ac:dyDescent="0.25">
      <c r="A44" s="35"/>
      <c r="B44" s="10" t="str">
        <f>CONCATENATE("          ","6307", " - ","POSTAGE")</f>
        <v xml:space="preserve">          6307 - POSTAGE</v>
      </c>
      <c r="C44" s="11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SUM(OSRRefD21_4_0x)+IFERROR(SUM(OSRRefE21_4_0x),0)</f>
        <v>0</v>
      </c>
    </row>
    <row r="45" spans="1:17" s="34" customFormat="1" collapsed="1" x14ac:dyDescent="0.25">
      <c r="A45" s="35"/>
      <c r="B45" s="11" t="str">
        <f>CONCATENATE("     ","Repair and Maintenance                            ")</f>
        <v xml:space="preserve">     Repair and Maintenance 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SUM(OSRRefD21_5x_9)</f>
        <v>0</v>
      </c>
      <c r="N45" s="1">
        <f>SUM(OSRRefE21_5x_0)</f>
        <v>0</v>
      </c>
      <c r="O45" s="1">
        <f>SUM(OSRRefE21_5x_1)</f>
        <v>0</v>
      </c>
      <c r="Q45" s="2">
        <f>SUM(OSRRefD20_5x)+IFERROR(SUM(OSRRefE20_5x),0)</f>
        <v>0</v>
      </c>
    </row>
    <row r="46" spans="1:17" s="34" customFormat="1" hidden="1" outlineLevel="1" x14ac:dyDescent="0.25">
      <c r="A46" s="35"/>
      <c r="B46" s="10" t="str">
        <f>CONCATENATE("          ","6373", " - ","MAINTENANCE CONTRACTS")</f>
        <v xml:space="preserve">          6373 - MAINTENANCE CONTRACTS</v>
      </c>
      <c r="C46" s="11"/>
      <c r="D46" s="2"/>
      <c r="E46" s="2"/>
      <c r="F46" s="2">
        <v>0</v>
      </c>
      <c r="G46" s="2"/>
      <c r="H46" s="2"/>
      <c r="I46" s="2"/>
      <c r="J46" s="2"/>
      <c r="K46" s="2"/>
      <c r="L46" s="2"/>
      <c r="M46" s="2"/>
      <c r="N46" s="2">
        <v>0</v>
      </c>
      <c r="O46" s="2"/>
      <c r="P46" s="9"/>
      <c r="Q46" s="2">
        <f>SUM(OSRRefD21_5_0x)+IFERROR(SUM(OSRRefE21_5_0x),0)</f>
        <v>0</v>
      </c>
    </row>
    <row r="47" spans="1:17" s="34" customFormat="1" collapsed="1" x14ac:dyDescent="0.25">
      <c r="A47" s="35"/>
      <c r="B47" s="11" t="str">
        <f>CONCATENATE("     ","Supplies                                          ")</f>
        <v xml:space="preserve">     Supplies                                          </v>
      </c>
      <c r="C47" s="11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SUM(OSRRefD21_6x_8)</f>
        <v>0</v>
      </c>
      <c r="M47" s="1">
        <f>SUM(OSRRefD21_6x_9)</f>
        <v>0</v>
      </c>
      <c r="N47" s="1">
        <f>SUM(OSRRefE21_6x_0)</f>
        <v>0</v>
      </c>
      <c r="O47" s="1">
        <f>SUM(OSRRefE21_6x_1)</f>
        <v>0</v>
      </c>
      <c r="Q47" s="2">
        <f>SUM(OSRRefD20_6x)+IFERROR(SUM(OSRRefE20_6x),0)</f>
        <v>0</v>
      </c>
    </row>
    <row r="48" spans="1:17" s="34" customFormat="1" hidden="1" outlineLevel="1" x14ac:dyDescent="0.25">
      <c r="A48" s="35"/>
      <c r="B48" s="10" t="str">
        <f>CONCATENATE("          ","6241", " - ","OFFICE EXPENSE")</f>
        <v xml:space="preserve">          6241 - OFFICE EXPENSE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34" customFormat="1" collapsed="1" x14ac:dyDescent="0.25">
      <c r="A49" s="35"/>
      <c r="B49" s="11" t="str">
        <f>CONCATENATE("     ","Telephone/Data Lines                              ")</f>
        <v xml:space="preserve">     Telephone/Data Lines                              </v>
      </c>
      <c r="C49" s="11"/>
      <c r="D49" s="1">
        <f>SUM(OSRRefD21_7x_0)</f>
        <v>0</v>
      </c>
      <c r="E49" s="1">
        <f>SUM(OSRRefD21_7x_1)</f>
        <v>0</v>
      </c>
      <c r="F49" s="1">
        <f>SUM(OSRRefD21_7x_2)</f>
        <v>0</v>
      </c>
      <c r="G49" s="1">
        <f>SUM(OSRRefD21_7x_3)</f>
        <v>0</v>
      </c>
      <c r="H49" s="1">
        <f>SUM(OSRRefD21_7x_4)</f>
        <v>0</v>
      </c>
      <c r="I49" s="1">
        <f>SUM(OSRRefD21_7x_5)</f>
        <v>0</v>
      </c>
      <c r="J49" s="1">
        <f>SUM(OSRRefD21_7x_6)</f>
        <v>0</v>
      </c>
      <c r="K49" s="1">
        <f>SUM(OSRRefD21_7x_7)</f>
        <v>0</v>
      </c>
      <c r="L49" s="1">
        <f>SUM(OSRRefD21_7x_8)</f>
        <v>0</v>
      </c>
      <c r="M49" s="1">
        <f>SUM(OSRRefD21_7x_9)</f>
        <v>0</v>
      </c>
      <c r="N49" s="1">
        <f>SUM(OSRRefE21_7x_0)</f>
        <v>0</v>
      </c>
      <c r="O49" s="1">
        <f>SUM(OSRRefE21_7x_1)</f>
        <v>0</v>
      </c>
      <c r="Q49" s="2">
        <f>SUM(OSRRefD20_7x)+IFERROR(SUM(OSRRefE20_7x),0)</f>
        <v>0</v>
      </c>
    </row>
    <row r="50" spans="1:17" s="34" customFormat="1" hidden="1" outlineLevel="1" x14ac:dyDescent="0.25">
      <c r="A50" s="35"/>
      <c r="B50" s="10" t="str">
        <f>CONCATENATE("          ","6309", " - ","TELEPHONE")</f>
        <v xml:space="preserve">          6309 - TELEPHONE</v>
      </c>
      <c r="C50" s="11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SUM(OSRRefD21_7_0x)+IFERROR(SUM(OSRRefE21_7_0x),0)</f>
        <v>0</v>
      </c>
    </row>
    <row r="51" spans="1:17" s="34" customFormat="1" collapsed="1" x14ac:dyDescent="0.25">
      <c r="A51" s="35"/>
      <c r="B51" s="11" t="str">
        <f>CONCATENATE("     ","Utilities                                         ")</f>
        <v xml:space="preserve">     Utilities                                         </v>
      </c>
      <c r="C51" s="11"/>
      <c r="D51" s="1">
        <f>SUM(OSRRefD21_8x_0)</f>
        <v>0</v>
      </c>
      <c r="E51" s="1">
        <f>SUM(OSRRefD21_8x_1)</f>
        <v>0</v>
      </c>
      <c r="F51" s="1">
        <f>SUM(OSRRefD21_8x_2)</f>
        <v>0</v>
      </c>
      <c r="G51" s="1">
        <f>SUM(OSRRefD21_8x_3)</f>
        <v>0</v>
      </c>
      <c r="H51" s="1">
        <f>SUM(OSRRefD21_8x_4)</f>
        <v>0</v>
      </c>
      <c r="I51" s="1">
        <f>SUM(OSRRefD21_8x_5)</f>
        <v>0</v>
      </c>
      <c r="J51" s="1">
        <f>SUM(OSRRefD21_8x_6)</f>
        <v>0</v>
      </c>
      <c r="K51" s="1">
        <f>SUM(OSRRefD21_8x_7)</f>
        <v>0</v>
      </c>
      <c r="L51" s="1">
        <f>SUM(OSRRefD21_8x_8)</f>
        <v>0</v>
      </c>
      <c r="M51" s="1">
        <f>SUM(OSRRefD21_8x_9)</f>
        <v>0</v>
      </c>
      <c r="N51" s="1">
        <f>SUM(OSRRefE21_8x_0)</f>
        <v>0</v>
      </c>
      <c r="O51" s="1">
        <f>SUM(OSRRefE21_8x_1)</f>
        <v>0</v>
      </c>
      <c r="Q51" s="2">
        <f>SUM(OSRRefD20_8x)+IFERROR(SUM(OSRRefE20_8x),0)</f>
        <v>0</v>
      </c>
    </row>
    <row r="52" spans="1:17" s="34" customFormat="1" hidden="1" outlineLevel="1" x14ac:dyDescent="0.25">
      <c r="A52" s="35"/>
      <c r="B52" s="10" t="str">
        <f>CONCATENATE("          ","6274", " - ","UTILITIES")</f>
        <v xml:space="preserve">          6274 - UTILITIES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SUM(OSRRefD21_8_0x)+IFERROR(SUM(OSRRefE21_8_0x),0)</f>
        <v>0</v>
      </c>
    </row>
    <row r="53" spans="1:17" s="30" customFormat="1" x14ac:dyDescent="0.25">
      <c r="A53" s="21"/>
      <c r="B53" s="21"/>
      <c r="C53" s="2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9" customFormat="1" x14ac:dyDescent="0.25">
      <c r="A54" s="23"/>
      <c r="B54" s="16" t="s">
        <v>291</v>
      </c>
      <c r="C54" s="22"/>
      <c r="D54" s="3">
        <f t="shared" ref="D54:M54" si="4">0</f>
        <v>0</v>
      </c>
      <c r="E54" s="3">
        <f t="shared" si="4"/>
        <v>0</v>
      </c>
      <c r="F54" s="3">
        <f t="shared" si="4"/>
        <v>0</v>
      </c>
      <c r="G54" s="3">
        <f t="shared" si="4"/>
        <v>0</v>
      </c>
      <c r="H54" s="3">
        <f t="shared" si="4"/>
        <v>0</v>
      </c>
      <c r="I54" s="3">
        <f t="shared" si="4"/>
        <v>0</v>
      </c>
      <c r="J54" s="3">
        <f t="shared" si="4"/>
        <v>0</v>
      </c>
      <c r="K54" s="3">
        <f t="shared" si="4"/>
        <v>0</v>
      </c>
      <c r="L54" s="3">
        <f t="shared" si="4"/>
        <v>0</v>
      </c>
      <c r="M54" s="3">
        <f t="shared" si="4"/>
        <v>0</v>
      </c>
      <c r="N54" s="3"/>
      <c r="O54" s="3"/>
      <c r="Q54" s="2">
        <f>SUM(OSRRefD23_0x)+IFERROR(SUM(OSRRefE23_0x),0)</f>
        <v>0</v>
      </c>
    </row>
    <row r="55" spans="1:17" x14ac:dyDescent="0.25">
      <c r="A55" s="5"/>
      <c r="B55" s="6"/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x14ac:dyDescent="0.25">
      <c r="A56" s="6"/>
      <c r="B56" s="17" t="s">
        <v>274</v>
      </c>
      <c r="C56" s="17"/>
      <c r="D56" s="8">
        <f t="shared" ref="D56:O56" si="5">IFERROR(+D14-D17+D54, 0)</f>
        <v>-0.23</v>
      </c>
      <c r="E56" s="8">
        <f t="shared" si="5"/>
        <v>0</v>
      </c>
      <c r="F56" s="8">
        <f t="shared" si="5"/>
        <v>0</v>
      </c>
      <c r="G56" s="8">
        <f t="shared" si="5"/>
        <v>0</v>
      </c>
      <c r="H56" s="8">
        <f t="shared" si="5"/>
        <v>-0.14000000000000001</v>
      </c>
      <c r="I56" s="8">
        <f t="shared" si="5"/>
        <v>0</v>
      </c>
      <c r="J56" s="8">
        <f t="shared" si="5"/>
        <v>0</v>
      </c>
      <c r="K56" s="8">
        <f t="shared" si="5"/>
        <v>0</v>
      </c>
      <c r="L56" s="8">
        <f t="shared" si="5"/>
        <v>0</v>
      </c>
      <c r="M56" s="8">
        <f t="shared" si="5"/>
        <v>0</v>
      </c>
      <c r="N56" s="8">
        <f t="shared" si="5"/>
        <v>0</v>
      </c>
      <c r="O56" s="8">
        <f t="shared" si="5"/>
        <v>0</v>
      </c>
      <c r="Q56" s="8">
        <f>IFERROR(+Q14-Q17+Q54, 0)</f>
        <v>-0.37</v>
      </c>
    </row>
    <row r="57" spans="1:17" s="6" customFormat="1" x14ac:dyDescent="0.25">
      <c r="B57" s="16"/>
      <c r="C57" s="16"/>
      <c r="D57" s="4">
        <f t="shared" ref="D57:O57" si="6">IFERROR(D56/D10, 0)</f>
        <v>0</v>
      </c>
      <c r="E57" s="4">
        <f t="shared" si="6"/>
        <v>0</v>
      </c>
      <c r="F57" s="4">
        <f t="shared" si="6"/>
        <v>0</v>
      </c>
      <c r="G57" s="4">
        <f t="shared" si="6"/>
        <v>0</v>
      </c>
      <c r="H57" s="4">
        <f t="shared" si="6"/>
        <v>0</v>
      </c>
      <c r="I57" s="4">
        <f t="shared" si="6"/>
        <v>0</v>
      </c>
      <c r="J57" s="4">
        <f t="shared" si="6"/>
        <v>0</v>
      </c>
      <c r="K57" s="4">
        <f t="shared" si="6"/>
        <v>0</v>
      </c>
      <c r="L57" s="4">
        <f t="shared" si="6"/>
        <v>0</v>
      </c>
      <c r="M57" s="4">
        <f t="shared" si="6"/>
        <v>0</v>
      </c>
      <c r="N57" s="4">
        <f t="shared" si="6"/>
        <v>0</v>
      </c>
      <c r="O57" s="4">
        <f t="shared" si="6"/>
        <v>0</v>
      </c>
      <c r="P57" s="18"/>
      <c r="Q57" s="4">
        <f>IFERROR(Q56/Q10, 0)</f>
        <v>0</v>
      </c>
    </row>
    <row r="58" spans="1:17" x14ac:dyDescent="0.25">
      <c r="A58" s="5"/>
      <c r="B58" s="6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5" customFormat="1" x14ac:dyDescent="0.25">
      <c r="A59" s="25"/>
      <c r="B59" s="6" t="s">
        <v>125</v>
      </c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2">
        <f>SUM(OSRRefD28_0x)+IFERROR(SUM(OSRRefE28_0x),0)</f>
        <v>0</v>
      </c>
    </row>
    <row r="60" spans="1:17" x14ac:dyDescent="0.25">
      <c r="A60" s="5"/>
      <c r="B60" s="6"/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124</v>
      </c>
      <c r="C61" s="17"/>
      <c r="D61" s="7">
        <f t="shared" ref="D61:O61" si="7">IFERROR(+D56-D59, 0)</f>
        <v>-0.23</v>
      </c>
      <c r="E61" s="7">
        <f t="shared" si="7"/>
        <v>0</v>
      </c>
      <c r="F61" s="7">
        <f t="shared" si="7"/>
        <v>0</v>
      </c>
      <c r="G61" s="7">
        <f t="shared" si="7"/>
        <v>0</v>
      </c>
      <c r="H61" s="7">
        <f t="shared" si="7"/>
        <v>-0.14000000000000001</v>
      </c>
      <c r="I61" s="7">
        <f t="shared" si="7"/>
        <v>0</v>
      </c>
      <c r="J61" s="7">
        <f t="shared" si="7"/>
        <v>0</v>
      </c>
      <c r="K61" s="7">
        <f t="shared" si="7"/>
        <v>0</v>
      </c>
      <c r="L61" s="7">
        <f t="shared" si="7"/>
        <v>0</v>
      </c>
      <c r="M61" s="7">
        <f t="shared" si="7"/>
        <v>0</v>
      </c>
      <c r="N61" s="7">
        <f t="shared" si="7"/>
        <v>0</v>
      </c>
      <c r="O61" s="7">
        <f t="shared" si="7"/>
        <v>0</v>
      </c>
      <c r="Q61" s="7">
        <f>IFERROR(+Q56-Q59, 0)</f>
        <v>-0.37</v>
      </c>
    </row>
    <row r="62" spans="1:17" ht="15.75" thickTop="1" x14ac:dyDescent="0.25">
      <c r="A62" s="5"/>
      <c r="B62" s="5"/>
      <c r="C62" s="5"/>
      <c r="D62" s="4">
        <f t="shared" ref="D62:O62" si="8">IFERROR(D61/D10, 0)</f>
        <v>0</v>
      </c>
      <c r="E62" s="4">
        <f t="shared" si="8"/>
        <v>0</v>
      </c>
      <c r="F62" s="4">
        <f t="shared" si="8"/>
        <v>0</v>
      </c>
      <c r="G62" s="4">
        <f t="shared" si="8"/>
        <v>0</v>
      </c>
      <c r="H62" s="4">
        <f t="shared" si="8"/>
        <v>0</v>
      </c>
      <c r="I62" s="4">
        <f t="shared" si="8"/>
        <v>0</v>
      </c>
      <c r="J62" s="4">
        <f t="shared" si="8"/>
        <v>0</v>
      </c>
      <c r="K62" s="4">
        <f t="shared" si="8"/>
        <v>0</v>
      </c>
      <c r="L62" s="4">
        <f t="shared" si="8"/>
        <v>0</v>
      </c>
      <c r="M62" s="4">
        <f t="shared" si="8"/>
        <v>0</v>
      </c>
      <c r="N62" s="4">
        <f t="shared" si="8"/>
        <v>0</v>
      </c>
      <c r="O62" s="4">
        <f t="shared" si="8"/>
        <v>0</v>
      </c>
      <c r="P62" s="18"/>
      <c r="Q62" s="4">
        <f>IFERROR(Q61/Q10, 0)</f>
        <v>0</v>
      </c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ht="15.75" thickBot="1" x14ac:dyDescent="0.3">
      <c r="A65" s="6"/>
      <c r="B65" s="17" t="s">
        <v>292</v>
      </c>
      <c r="C65" s="17"/>
      <c r="D65" s="7">
        <f t="shared" ref="D65:O65" si="9">IFERROR(SUM(D61:D64), 0)</f>
        <v>-0.23</v>
      </c>
      <c r="E65" s="7">
        <f t="shared" si="9"/>
        <v>0</v>
      </c>
      <c r="F65" s="7">
        <f t="shared" si="9"/>
        <v>0</v>
      </c>
      <c r="G65" s="7">
        <f t="shared" si="9"/>
        <v>0</v>
      </c>
      <c r="H65" s="7">
        <f t="shared" si="9"/>
        <v>-0.14000000000000001</v>
      </c>
      <c r="I65" s="7">
        <f t="shared" si="9"/>
        <v>0</v>
      </c>
      <c r="J65" s="7">
        <f t="shared" si="9"/>
        <v>0</v>
      </c>
      <c r="K65" s="7">
        <f t="shared" si="9"/>
        <v>0</v>
      </c>
      <c r="L65" s="7">
        <f t="shared" si="9"/>
        <v>0</v>
      </c>
      <c r="M65" s="7">
        <f t="shared" si="9"/>
        <v>0</v>
      </c>
      <c r="N65" s="7">
        <f t="shared" si="9"/>
        <v>0</v>
      </c>
      <c r="O65" s="7">
        <f t="shared" si="9"/>
        <v>0</v>
      </c>
      <c r="Q65" s="7">
        <f>IFERROR(SUM(Q61:Q64), 0)</f>
        <v>-0.37</v>
      </c>
    </row>
    <row r="66" spans="1:17" ht="15.75" thickTop="1" x14ac:dyDescent="0.25">
      <c r="A66" s="5"/>
      <c r="C66" s="5"/>
      <c r="D66" s="4">
        <f t="shared" ref="D66:O66" si="10">IFERROR(D65/D10, 0)</f>
        <v>0</v>
      </c>
      <c r="E66" s="4">
        <f t="shared" si="10"/>
        <v>0</v>
      </c>
      <c r="F66" s="4">
        <f t="shared" si="10"/>
        <v>0</v>
      </c>
      <c r="G66" s="4">
        <f t="shared" si="10"/>
        <v>0</v>
      </c>
      <c r="H66" s="4">
        <f t="shared" si="10"/>
        <v>0</v>
      </c>
      <c r="I66" s="4">
        <f t="shared" si="10"/>
        <v>0</v>
      </c>
      <c r="J66" s="4">
        <f t="shared" si="10"/>
        <v>0</v>
      </c>
      <c r="K66" s="4">
        <f t="shared" si="10"/>
        <v>0</v>
      </c>
      <c r="L66" s="4">
        <f t="shared" si="10"/>
        <v>0</v>
      </c>
      <c r="M66" s="4">
        <f t="shared" si="10"/>
        <v>0</v>
      </c>
      <c r="N66" s="4">
        <f t="shared" si="10"/>
        <v>0</v>
      </c>
      <c r="O66" s="4">
        <f t="shared" si="10"/>
        <v>0</v>
      </c>
      <c r="P66" s="18"/>
      <c r="Q66" s="4">
        <f>IFERROR(Q65/Q10, 0)</f>
        <v>0</v>
      </c>
    </row>
    <row r="67" spans="1:17" x14ac:dyDescent="0.25">
      <c r="A67" s="5"/>
      <c r="B67" s="27">
        <v>44330.012769791669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Q67" s="13"/>
    </row>
    <row r="68" spans="1:17" x14ac:dyDescent="0.25">
      <c r="A68" s="5"/>
      <c r="B68" s="31" t="s">
        <v>54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26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78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24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M24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3"/>
      <c r="B12" s="10" t="str">
        <f>CONCATENATE("          ","4026", " - ","TAXABLE SALES-WRITING INSTRUME")</f>
        <v xml:space="preserve">          4026 - TAXABLE SALES-WRITING INSTRUME</v>
      </c>
      <c r="C12" s="22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3"/>
      <c r="B13" s="10" t="str">
        <f>CONCATENATE("          ","4027", " - ","TAXABLE SALES-SCHOOL SUPPLIES")</f>
        <v xml:space="preserve">          4027 - TAXABLE SALES-SCHOOL SUPPLIES</v>
      </c>
      <c r="C13" s="22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3"/>
      <c r="B14" s="10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3"/>
      <c r="B15" s="10" t="str">
        <f>CONCATENATE("          ","4031", " - ","TAXABLE SALES-FOOD")</f>
        <v xml:space="preserve">          4031 - TAXABLE SALES-FOOD</v>
      </c>
      <c r="C15" s="22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3"/>
      <c r="B16" s="10" t="str">
        <f>CONCATENATE("          ","4081", " - ","TAXABLE SALES-ELECTRONICS")</f>
        <v xml:space="preserve">          4081 - TAXABLE SALES-ELECTRONICS</v>
      </c>
      <c r="C16" s="22"/>
      <c r="D16" s="2">
        <f t="shared" si="0"/>
        <v>0</v>
      </c>
      <c r="E16" s="2">
        <f t="shared" ref="E16:E19" si="3">0</f>
        <v>0</v>
      </c>
      <c r="F16" s="2">
        <f>--71.95</f>
        <v>71.95</v>
      </c>
      <c r="G16" s="2">
        <f t="shared" ref="G16:G19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3"/>
      <c r="B17" s="10" t="str">
        <f>CONCATENATE("          ","4083", " - ","TAXABLE SALES-COMPUTER EQUIPME")</f>
        <v xml:space="preserve">          4083 - TAXABLE SALES-COMPUTER EQUIPME</v>
      </c>
      <c r="C17" s="22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3"/>
      <c r="B18" s="10" t="str">
        <f>CONCATENATE("          ","4100", " - ","NON-TAXABLE SALES")</f>
        <v xml:space="preserve">          4100 - NON-TAXABLE SALES</v>
      </c>
      <c r="C18" s="22"/>
      <c r="D18" s="2">
        <f t="shared" si="0"/>
        <v>0</v>
      </c>
      <c r="E18" s="2">
        <f t="shared" si="3"/>
        <v>0</v>
      </c>
      <c r="F18" s="2">
        <f t="shared" ref="F18:F19" si="5"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3"/>
      <c r="B19" s="10" t="str">
        <f>CONCATENATE("          ","4126", " - ","NON-TAXABLE SALES-WRITING INST")</f>
        <v xml:space="preserve">          4126 - NON-TAXABLE SALES-WRITING INST</v>
      </c>
      <c r="C19" s="22"/>
      <c r="D19" s="2">
        <f t="shared" si="0"/>
        <v>0</v>
      </c>
      <c r="E19" s="2">
        <f t="shared" si="3"/>
        <v>0</v>
      </c>
      <c r="F19" s="2">
        <f t="shared" si="5"/>
        <v>0</v>
      </c>
      <c r="G19" s="2">
        <f t="shared" si="4"/>
        <v>0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/>
      <c r="O19" s="2"/>
      <c r="Q19" s="2">
        <f>SUM(OSRRefD11_8x)+IFERROR(SUM(OSRRefE11_8x),0)</f>
        <v>0</v>
      </c>
    </row>
    <row r="20" spans="1:17" s="9" customFormat="1" hidden="1" outlineLevel="1" x14ac:dyDescent="0.25">
      <c r="A20" s="23"/>
      <c r="B20" s="10" t="str">
        <f>CONCATENATE("          ","4131", " - ","NON-TAXABLE SALES-FOOD")</f>
        <v xml:space="preserve">          4131 - NON-TAXABLE SALES-FOOD</v>
      </c>
      <c r="C20" s="22"/>
      <c r="D20" s="2">
        <f t="shared" si="0"/>
        <v>0</v>
      </c>
      <c r="E20" s="2">
        <f>--587.14</f>
        <v>587.14</v>
      </c>
      <c r="F20" s="2">
        <f>--1245.56</f>
        <v>1245.56</v>
      </c>
      <c r="G20" s="2">
        <f>--14.46</f>
        <v>14.46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/>
      <c r="O20" s="2"/>
      <c r="Q20" s="2">
        <f>SUM(OSRRefD11_9x)+IFERROR(SUM(OSRRefE11_9x),0)</f>
        <v>1847.1599999999999</v>
      </c>
    </row>
    <row r="21" spans="1:17" s="9" customFormat="1" hidden="1" outlineLevel="1" x14ac:dyDescent="0.25">
      <c r="A21" s="23"/>
      <c r="B21" s="10" t="str">
        <f>CONCATENATE("          ","4133", " - ","NON-TAXABLE SALES-CANDY")</f>
        <v xml:space="preserve">          4133 - NON-TAXABLE SALES-CANDY</v>
      </c>
      <c r="C21" s="22"/>
      <c r="D21" s="2">
        <f t="shared" si="0"/>
        <v>0</v>
      </c>
      <c r="E21" s="2">
        <f t="shared" ref="E21:G22" si="6">0</f>
        <v>0</v>
      </c>
      <c r="F21" s="2">
        <f t="shared" si="6"/>
        <v>0</v>
      </c>
      <c r="G21" s="2">
        <f t="shared" si="6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>
        <f t="shared" si="1"/>
        <v>0</v>
      </c>
      <c r="N21" s="2"/>
      <c r="O21" s="2"/>
      <c r="Q21" s="2">
        <f>SUM(OSRRefD11_10x)+IFERROR(SUM(OSRRefE11_10x),0)</f>
        <v>0</v>
      </c>
    </row>
    <row r="22" spans="1:17" s="9" customFormat="1" hidden="1" outlineLevel="1" x14ac:dyDescent="0.25">
      <c r="A22" s="23"/>
      <c r="B22" s="10" t="str">
        <f>CONCATENATE("          ","4226", " - ","SALES RETURN TAXABLE-WRITING I")</f>
        <v xml:space="preserve">          4226 - SALES RETURN TAXABLE-WRITING I</v>
      </c>
      <c r="C22" s="22"/>
      <c r="D22" s="2">
        <f t="shared" si="0"/>
        <v>0</v>
      </c>
      <c r="E22" s="2">
        <f t="shared" si="6"/>
        <v>0</v>
      </c>
      <c r="F22" s="2">
        <f t="shared" si="6"/>
        <v>0</v>
      </c>
      <c r="G22" s="2">
        <f t="shared" si="6"/>
        <v>0</v>
      </c>
      <c r="H22" s="2">
        <f t="shared" si="1"/>
        <v>0</v>
      </c>
      <c r="I22" s="2">
        <f t="shared" si="1"/>
        <v>0</v>
      </c>
      <c r="J22" s="2">
        <f t="shared" si="1"/>
        <v>0</v>
      </c>
      <c r="K22" s="2">
        <f t="shared" si="1"/>
        <v>0</v>
      </c>
      <c r="L22" s="2">
        <f t="shared" si="1"/>
        <v>0</v>
      </c>
      <c r="M22" s="2">
        <f t="shared" si="1"/>
        <v>0</v>
      </c>
      <c r="N22" s="2"/>
      <c r="O22" s="2"/>
      <c r="Q22" s="2">
        <f>SUM(OSRRefD11_11x)+IFERROR(SUM(OSRRefE11_11x),0)</f>
        <v>0</v>
      </c>
    </row>
    <row r="23" spans="1:17" s="9" customFormat="1" hidden="1" outlineLevel="1" x14ac:dyDescent="0.25">
      <c r="A23" s="23"/>
      <c r="B23" s="10" t="str">
        <f>CONCATENATE("          ","4227", " - ","SALES RETURN TAXABLE-SCHOOL SU")</f>
        <v xml:space="preserve">          4227 - SALES RETURN TAXABLE-SCHOOL SU</v>
      </c>
      <c r="C23" s="22"/>
      <c r="D23" s="2">
        <f t="shared" si="0"/>
        <v>0</v>
      </c>
      <c r="E23" s="2">
        <f>-140.39</f>
        <v>-140.38999999999999</v>
      </c>
      <c r="F23" s="2">
        <f>-19.58</f>
        <v>-19.579999999999998</v>
      </c>
      <c r="G23" s="2">
        <f t="shared" ref="G23:G24" si="7">0</f>
        <v>0</v>
      </c>
      <c r="H23" s="2">
        <f t="shared" si="1"/>
        <v>0</v>
      </c>
      <c r="I23" s="2">
        <f t="shared" si="1"/>
        <v>0</v>
      </c>
      <c r="J23" s="2">
        <f t="shared" si="1"/>
        <v>0</v>
      </c>
      <c r="K23" s="2">
        <f t="shared" si="1"/>
        <v>0</v>
      </c>
      <c r="L23" s="2">
        <f t="shared" si="1"/>
        <v>0</v>
      </c>
      <c r="M23" s="2">
        <f t="shared" si="1"/>
        <v>0</v>
      </c>
      <c r="N23" s="2"/>
      <c r="O23" s="2"/>
      <c r="Q23" s="2">
        <f>SUM(OSRRefD11_12x)+IFERROR(SUM(OSRRefE11_12x),0)</f>
        <v>-159.96999999999997</v>
      </c>
    </row>
    <row r="24" spans="1:17" s="9" customFormat="1" hidden="1" outlineLevel="1" x14ac:dyDescent="0.25">
      <c r="A24" s="23"/>
      <c r="B24" s="10" t="str">
        <f>CONCATENATE("          ","4228", " - ","SALES RETURN TAXABLE-ART/TECH")</f>
        <v xml:space="preserve">          4228 - SALES RETURN TAXABLE-ART/TECH</v>
      </c>
      <c r="C24" s="22"/>
      <c r="D24" s="2">
        <f t="shared" si="0"/>
        <v>0</v>
      </c>
      <c r="E24" s="2">
        <f>-164.44</f>
        <v>-164.44</v>
      </c>
      <c r="F24" s="2">
        <f>-57.76</f>
        <v>-57.76</v>
      </c>
      <c r="G24" s="2">
        <f t="shared" si="7"/>
        <v>0</v>
      </c>
      <c r="H24" s="2">
        <f t="shared" si="1"/>
        <v>0</v>
      </c>
      <c r="I24" s="2">
        <f t="shared" si="1"/>
        <v>0</v>
      </c>
      <c r="J24" s="2">
        <f t="shared" si="1"/>
        <v>0</v>
      </c>
      <c r="K24" s="2">
        <f t="shared" si="1"/>
        <v>0</v>
      </c>
      <c r="L24" s="2">
        <f t="shared" si="1"/>
        <v>0</v>
      </c>
      <c r="M24" s="2">
        <f t="shared" si="1"/>
        <v>0</v>
      </c>
      <c r="N24" s="2"/>
      <c r="O24" s="2"/>
      <c r="Q24" s="2">
        <f>SUM(OSRRefD11_13x)+IFERROR(SUM(OSRRefE11_13x),0)</f>
        <v>-222.2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9" customFormat="1" collapsed="1" x14ac:dyDescent="0.25">
      <c r="A26" s="23"/>
      <c r="B26" s="16" t="s">
        <v>217</v>
      </c>
      <c r="C26" s="22"/>
      <c r="D26" s="3">
        <f>SUM(OSRRefD14x_0)</f>
        <v>38.049999999999997</v>
      </c>
      <c r="E26" s="3">
        <f>SUM(OSRRefD14x_1)</f>
        <v>9005</v>
      </c>
      <c r="F26" s="3">
        <f>SUM(OSRRefD14x_2)</f>
        <v>5140</v>
      </c>
      <c r="G26" s="3">
        <f>SUM(OSRRefD14x_3)</f>
        <v>-4.3769432522822171E-12</v>
      </c>
      <c r="H26" s="3">
        <f>SUM(OSRRefD14x_4)</f>
        <v>17.61</v>
      </c>
      <c r="I26" s="3">
        <f>SUM(OSRRefD14x_5)</f>
        <v>-488.92</v>
      </c>
      <c r="J26" s="3">
        <f>SUM(OSRRefD14x_6)</f>
        <v>18.52</v>
      </c>
      <c r="K26" s="3">
        <f>SUM(OSRRefD14x_7)</f>
        <v>12.76</v>
      </c>
      <c r="L26" s="3">
        <f>SUM(OSRRefD14x_8)</f>
        <v>30.48</v>
      </c>
      <c r="M26" s="3">
        <f>SUM(OSRRefD14x_9)</f>
        <v>19.489999999999998</v>
      </c>
      <c r="N26" s="3">
        <f>SUM(OSRRefE14x_0)</f>
        <v>0</v>
      </c>
      <c r="O26" s="3">
        <f>SUM(OSRRefE14x_1)</f>
        <v>0</v>
      </c>
      <c r="Q26" s="3">
        <f>SUM(OSRRefG14x)</f>
        <v>13792.989999999994</v>
      </c>
    </row>
    <row r="27" spans="1:17" s="9" customFormat="1" hidden="1" outlineLevel="1" x14ac:dyDescent="0.25">
      <c r="A27" s="23"/>
      <c r="B27" s="10" t="str">
        <f>CONCATENATE("          ","5000", " - ","PURCHASES @ COST")</f>
        <v xml:space="preserve">          5000 - PURCHASES @ COST</v>
      </c>
      <c r="C27" s="22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Q27" s="2">
        <f>SUM(OSRRefD14_0x)+IFERROR(SUM(OSRRefE14_0x),0)</f>
        <v>0</v>
      </c>
    </row>
    <row r="28" spans="1:17" s="9" customFormat="1" hidden="1" outlineLevel="1" x14ac:dyDescent="0.25">
      <c r="A28" s="23"/>
      <c r="B28" s="10" t="str">
        <f>CONCATENATE("          ","5026", " - ","PURCHASES @ COST-WRITING INSTR")</f>
        <v xml:space="preserve">          5026 - PURCHASES @ COST-WRITING INSTR</v>
      </c>
      <c r="C28" s="22"/>
      <c r="D28" s="2"/>
      <c r="E28" s="2"/>
      <c r="F28" s="2"/>
      <c r="G28" s="2">
        <v>370.02</v>
      </c>
      <c r="H28" s="2"/>
      <c r="I28" s="2">
        <v>-5.1100000000000003</v>
      </c>
      <c r="J28" s="2"/>
      <c r="K28" s="2"/>
      <c r="L28" s="2">
        <v>0</v>
      </c>
      <c r="M28" s="2"/>
      <c r="N28" s="2"/>
      <c r="O28" s="2"/>
      <c r="Q28" s="2">
        <f>SUM(OSRRefD14_1x)+IFERROR(SUM(OSRRefE14_1x),0)</f>
        <v>364.90999999999997</v>
      </c>
    </row>
    <row r="29" spans="1:17" s="9" customFormat="1" hidden="1" outlineLevel="1" x14ac:dyDescent="0.25">
      <c r="A29" s="23"/>
      <c r="B29" s="10" t="str">
        <f>CONCATENATE("          ","5027", " - ","PURCHASES @ COST-SCHOOL SUPPLI")</f>
        <v xml:space="preserve">          5027 - PURCHASES @ COST-SCHOOL SUPPLI</v>
      </c>
      <c r="C29" s="22"/>
      <c r="D29" s="2">
        <v>0</v>
      </c>
      <c r="E29" s="2"/>
      <c r="F29" s="2"/>
      <c r="G29" s="2">
        <v>895.47</v>
      </c>
      <c r="H29" s="2"/>
      <c r="I29" s="2"/>
      <c r="J29" s="2"/>
      <c r="K29" s="2"/>
      <c r="L29" s="2"/>
      <c r="M29" s="2"/>
      <c r="N29" s="2"/>
      <c r="O29" s="2"/>
      <c r="Q29" s="2">
        <f>SUM(OSRRefD14_2x)+IFERROR(SUM(OSRRefE14_2x),0)</f>
        <v>895.47</v>
      </c>
    </row>
    <row r="30" spans="1:17" s="9" customFormat="1" hidden="1" outlineLevel="1" x14ac:dyDescent="0.25">
      <c r="A30" s="23"/>
      <c r="B30" s="10" t="str">
        <f>CONCATENATE("          ","5028", " - ","PURCHASES @ COST-ART/TECH")</f>
        <v xml:space="preserve">          5028 - PURCHASES @ COST-ART/TECH</v>
      </c>
      <c r="C30" s="22"/>
      <c r="D30" s="2"/>
      <c r="E30" s="2"/>
      <c r="F30" s="2">
        <v>0</v>
      </c>
      <c r="G30" s="2">
        <v>41425.96</v>
      </c>
      <c r="H30" s="2">
        <v>15.89</v>
      </c>
      <c r="I30" s="2"/>
      <c r="J30" s="2"/>
      <c r="K30" s="2"/>
      <c r="L30" s="2"/>
      <c r="M30" s="2"/>
      <c r="N30" s="2"/>
      <c r="O30" s="2"/>
      <c r="Q30" s="2">
        <f>SUM(OSRRefD14_3x)+IFERROR(SUM(OSRRefE14_3x),0)</f>
        <v>41441.85</v>
      </c>
    </row>
    <row r="31" spans="1:17" s="9" customFormat="1" hidden="1" outlineLevel="1" x14ac:dyDescent="0.25">
      <c r="A31" s="23"/>
      <c r="B31" s="10" t="str">
        <f>CONCATENATE("          ","5031", " - ","PURCHASES @ COST-FOOD")</f>
        <v xml:space="preserve">          5031 - PURCHASES @ COST-FOOD</v>
      </c>
      <c r="C31" s="22"/>
      <c r="D31" s="2"/>
      <c r="E31" s="2">
        <v>0</v>
      </c>
      <c r="F31" s="2">
        <v>2882.41</v>
      </c>
      <c r="G31" s="2">
        <v>47.26</v>
      </c>
      <c r="H31" s="2"/>
      <c r="I31" s="2">
        <v>-488.1</v>
      </c>
      <c r="J31" s="2"/>
      <c r="K31" s="2"/>
      <c r="L31" s="2"/>
      <c r="M31" s="2"/>
      <c r="N31" s="2"/>
      <c r="O31" s="2"/>
      <c r="Q31" s="2">
        <f>SUM(OSRRefD14_4x)+IFERROR(SUM(OSRRefE14_4x),0)</f>
        <v>2441.5700000000002</v>
      </c>
    </row>
    <row r="32" spans="1:17" s="9" customFormat="1" hidden="1" outlineLevel="1" x14ac:dyDescent="0.25">
      <c r="A32" s="23"/>
      <c r="B32" s="10" t="str">
        <f>CONCATENATE("          ","5200", " - ","PURCHASES OFFSET")</f>
        <v xml:space="preserve">          5200 - PURCHASES OFFSET</v>
      </c>
      <c r="C32" s="22"/>
      <c r="D32" s="2"/>
      <c r="E32" s="2"/>
      <c r="F32" s="2">
        <v>-2889.17</v>
      </c>
      <c r="G32" s="2">
        <v>-42974.16</v>
      </c>
      <c r="H32" s="2"/>
      <c r="I32" s="2"/>
      <c r="J32" s="2"/>
      <c r="K32" s="2"/>
      <c r="L32" s="2"/>
      <c r="M32" s="2"/>
      <c r="N32" s="2"/>
      <c r="O32" s="2"/>
      <c r="Q32" s="2">
        <f>SUM(OSRRefD14_5x)+IFERROR(SUM(OSRRefE14_5x),0)</f>
        <v>-45863.33</v>
      </c>
    </row>
    <row r="33" spans="1:17" s="9" customFormat="1" hidden="1" outlineLevel="1" x14ac:dyDescent="0.25">
      <c r="A33" s="23"/>
      <c r="B33" s="10" t="str">
        <f>CONCATENATE("          ","5300", " - ","COG$ OFFSET")</f>
        <v xml:space="preserve">          5300 - COG$ OFFSET</v>
      </c>
      <c r="C33" s="22"/>
      <c r="D33" s="2"/>
      <c r="E33" s="2">
        <v>9005</v>
      </c>
      <c r="F33" s="2">
        <v>5140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SUM(OSRRefD14_6x)+IFERROR(SUM(OSRRefE14_6x),0)</f>
        <v>14145</v>
      </c>
    </row>
    <row r="34" spans="1:17" s="9" customFormat="1" hidden="1" outlineLevel="1" x14ac:dyDescent="0.25">
      <c r="A34" s="23"/>
      <c r="B34" s="10" t="str">
        <f>CONCATENATE("          ","5528", " - ","FREIGHT-IN-ART/TECH")</f>
        <v xml:space="preserve">          5528 - FREIGHT-IN-ART/TECH</v>
      </c>
      <c r="C34" s="22"/>
      <c r="D34" s="2">
        <v>38.049999999999997</v>
      </c>
      <c r="E34" s="2"/>
      <c r="F34" s="2">
        <v>6.76</v>
      </c>
      <c r="G34" s="2">
        <v>235.45</v>
      </c>
      <c r="H34" s="2">
        <v>1.72</v>
      </c>
      <c r="I34" s="2">
        <v>4.29</v>
      </c>
      <c r="J34" s="2">
        <v>18.52</v>
      </c>
      <c r="K34" s="2">
        <v>12.76</v>
      </c>
      <c r="L34" s="2">
        <v>30.48</v>
      </c>
      <c r="M34" s="2">
        <v>19.489999999999998</v>
      </c>
      <c r="N34" s="2"/>
      <c r="O34" s="2"/>
      <c r="Q34" s="2">
        <f>SUM(OSRRefD14_7x)+IFERROR(SUM(OSRRefE14_7x),0)</f>
        <v>367.52000000000004</v>
      </c>
    </row>
    <row r="35" spans="1:17" x14ac:dyDescent="0.2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25">
      <c r="A36" s="6"/>
      <c r="B36" s="17" t="s">
        <v>105</v>
      </c>
      <c r="C36" s="17"/>
      <c r="D36" s="8">
        <f t="shared" ref="D36:O36" si="8">IFERROR(+D10-D26, 0)</f>
        <v>-38.049999999999997</v>
      </c>
      <c r="E36" s="8">
        <f t="shared" si="8"/>
        <v>3392.9400000000005</v>
      </c>
      <c r="F36" s="8">
        <f t="shared" si="8"/>
        <v>3756.08</v>
      </c>
      <c r="G36" s="8">
        <f t="shared" si="8"/>
        <v>17.900000000004376</v>
      </c>
      <c r="H36" s="8">
        <f t="shared" si="8"/>
        <v>-17.61</v>
      </c>
      <c r="I36" s="8">
        <f t="shared" si="8"/>
        <v>488.92</v>
      </c>
      <c r="J36" s="8">
        <f t="shared" si="8"/>
        <v>-18.52</v>
      </c>
      <c r="K36" s="8">
        <f t="shared" si="8"/>
        <v>-12.76</v>
      </c>
      <c r="L36" s="8">
        <f t="shared" si="8"/>
        <v>-30.48</v>
      </c>
      <c r="M36" s="8">
        <f t="shared" si="8"/>
        <v>-19.489999999999998</v>
      </c>
      <c r="N36" s="8">
        <f t="shared" si="8"/>
        <v>0</v>
      </c>
      <c r="O36" s="8">
        <f t="shared" si="8"/>
        <v>0</v>
      </c>
      <c r="Q36" s="8">
        <f>IFERROR(+Q10-Q26, 0)</f>
        <v>7518.9300000000039</v>
      </c>
    </row>
    <row r="37" spans="1:17" s="6" customFormat="1" x14ac:dyDescent="0.25">
      <c r="B37" s="16"/>
      <c r="C37" s="16"/>
      <c r="D37" s="4">
        <f t="shared" ref="D37:O37" si="9">IFERROR(D36/D10, 0)</f>
        <v>0</v>
      </c>
      <c r="E37" s="4">
        <f t="shared" si="9"/>
        <v>0.27366965802383303</v>
      </c>
      <c r="F37" s="4">
        <f t="shared" si="9"/>
        <v>0.42221742610228324</v>
      </c>
      <c r="G37" s="4">
        <f t="shared" si="9"/>
        <v>1.0000000000002445</v>
      </c>
      <c r="H37" s="4">
        <f t="shared" si="9"/>
        <v>0</v>
      </c>
      <c r="I37" s="4">
        <f t="shared" si="9"/>
        <v>0</v>
      </c>
      <c r="J37" s="4">
        <f t="shared" si="9"/>
        <v>0</v>
      </c>
      <c r="K37" s="4">
        <f t="shared" si="9"/>
        <v>0</v>
      </c>
      <c r="L37" s="4">
        <f t="shared" si="9"/>
        <v>0</v>
      </c>
      <c r="M37" s="4">
        <f t="shared" si="9"/>
        <v>0</v>
      </c>
      <c r="N37" s="4">
        <f t="shared" si="9"/>
        <v>0</v>
      </c>
      <c r="O37" s="4">
        <f t="shared" si="9"/>
        <v>0</v>
      </c>
      <c r="P37" s="18"/>
      <c r="Q37" s="4">
        <f>IFERROR(Q36/Q10, 0)</f>
        <v>0.35280397073562608</v>
      </c>
    </row>
    <row r="38" spans="1:17" x14ac:dyDescent="0.25">
      <c r="A38" s="5"/>
      <c r="B38" s="6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1"/>
    </row>
    <row r="39" spans="1:17" s="15" customFormat="1" x14ac:dyDescent="0.25">
      <c r="A39" s="6"/>
      <c r="B39" s="16" t="s">
        <v>254</v>
      </c>
      <c r="C39" s="6"/>
      <c r="D39" s="14">
        <f>SUM(OSRRefD20x_0)</f>
        <v>1103.3499999999999</v>
      </c>
      <c r="E39" s="14">
        <f>SUM(OSRRefD20x_1)</f>
        <v>5481.72</v>
      </c>
      <c r="F39" s="14">
        <f>SUM(OSRRefD20x_2)</f>
        <v>3608.6000000000004</v>
      </c>
      <c r="G39" s="14">
        <f>SUM(OSRRefD20x_3)</f>
        <v>1424.39</v>
      </c>
      <c r="H39" s="14">
        <f>SUM(OSRRefD20x_4)</f>
        <v>535.58000000000004</v>
      </c>
      <c r="I39" s="14">
        <f>SUM(OSRRefD20x_5)</f>
        <v>274.11</v>
      </c>
      <c r="J39" s="14">
        <f>SUM(OSRRefD20x_6)</f>
        <v>53</v>
      </c>
      <c r="K39" s="14">
        <f>SUM(OSRRefD20x_7)</f>
        <v>53</v>
      </c>
      <c r="L39" s="14">
        <f>SUM(OSRRefD20x_8)</f>
        <v>114.11</v>
      </c>
      <c r="M39" s="14">
        <f>SUM(OSRRefD20x_9)</f>
        <v>53</v>
      </c>
      <c r="N39" s="14">
        <f>SUM(OSRRefE20x_0)</f>
        <v>0</v>
      </c>
      <c r="O39" s="14">
        <f>SUM(OSRRefE20x_1)</f>
        <v>0</v>
      </c>
      <c r="Q39" s="14">
        <f>SUM(OSRRefG20x)</f>
        <v>12700.859999999999</v>
      </c>
    </row>
    <row r="40" spans="1:17" s="34" customFormat="1" collapsed="1" x14ac:dyDescent="0.25">
      <c r="A40" s="35"/>
      <c r="B40" s="11" t="str">
        <f>CONCATENATE("     ","*Benefits                                         ")</f>
        <v xml:space="preserve">     *Benefits                                         </v>
      </c>
      <c r="C40" s="11"/>
      <c r="D40" s="1">
        <f>SUM(OSRRefD21_0x_0)</f>
        <v>0</v>
      </c>
      <c r="E40" s="1">
        <f>SUM(OSRRefD21_0x_1)</f>
        <v>313.34000000000003</v>
      </c>
      <c r="F40" s="1">
        <f>SUM(OSRRefD21_0x_2)</f>
        <v>248.82999999999998</v>
      </c>
      <c r="G40" s="1">
        <f>SUM(OSRRefD21_0x_3)</f>
        <v>214.64</v>
      </c>
      <c r="H40" s="1">
        <f>SUM(OSRRefD21_0x_4)</f>
        <v>1.39</v>
      </c>
      <c r="I40" s="1">
        <f>SUM(OSRRefD21_0x_5)</f>
        <v>0</v>
      </c>
      <c r="J40" s="1">
        <f>SUM(OSRRefD21_0x_6)</f>
        <v>0</v>
      </c>
      <c r="K40" s="1">
        <f>SUM(OSRRefD21_0x_7)</f>
        <v>0</v>
      </c>
      <c r="L40" s="1">
        <f>SUM(OSRRefD21_0x_8)</f>
        <v>0</v>
      </c>
      <c r="M40" s="1">
        <f>SUM(OSRRefD21_0x_9)</f>
        <v>0</v>
      </c>
      <c r="N40" s="1">
        <f>SUM(OSRRefE21_0x_0)</f>
        <v>0</v>
      </c>
      <c r="O40" s="1">
        <f>SUM(OSRRefE21_0x_1)</f>
        <v>0</v>
      </c>
      <c r="Q40" s="2">
        <f>SUM(OSRRefD20_0x)+IFERROR(SUM(OSRRefE20_0x),0)</f>
        <v>778.2</v>
      </c>
    </row>
    <row r="41" spans="1:17" s="34" customFormat="1" hidden="1" outlineLevel="1" x14ac:dyDescent="0.25">
      <c r="A41" s="35"/>
      <c r="B41" s="10" t="str">
        <f>CONCATENATE("          ","6111", " - ","F.I.C.A.")</f>
        <v xml:space="preserve">          6111 - F.I.C.A.</v>
      </c>
      <c r="C41" s="11"/>
      <c r="D41" s="2"/>
      <c r="E41" s="2">
        <v>257.36</v>
      </c>
      <c r="F41" s="2">
        <v>149.04</v>
      </c>
      <c r="G41" s="2">
        <v>76.819999999999993</v>
      </c>
      <c r="H41" s="2">
        <v>1.39</v>
      </c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SUM(OSRRefD21_0_0x)+IFERROR(SUM(OSRRefE21_0_0x),0)</f>
        <v>484.60999999999996</v>
      </c>
    </row>
    <row r="42" spans="1:17" s="34" customFormat="1" hidden="1" outlineLevel="1" x14ac:dyDescent="0.25">
      <c r="A42" s="35"/>
      <c r="B42" s="10" t="str">
        <f>CONCATENATE("          ","6112", " - ","COMPENSATION INSURANCE")</f>
        <v xml:space="preserve">          6112 - COMPENSATION INSURANCE</v>
      </c>
      <c r="C42" s="11"/>
      <c r="D42" s="2"/>
      <c r="E42" s="2">
        <v>47.24</v>
      </c>
      <c r="F42" s="2">
        <v>87.49</v>
      </c>
      <c r="G42" s="2">
        <v>120.84</v>
      </c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SUM(OSRRefD21_0_1x)+IFERROR(SUM(OSRRefE21_0_1x),0)</f>
        <v>255.57</v>
      </c>
    </row>
    <row r="43" spans="1:17" s="34" customFormat="1" hidden="1" outlineLevel="1" x14ac:dyDescent="0.25">
      <c r="A43" s="35"/>
      <c r="B43" s="10" t="str">
        <f>CONCATENATE("          ","6113", " - ","GROUP INSURANCE")</f>
        <v xml:space="preserve">          6113 - GROUP INSURANCE</v>
      </c>
      <c r="C43" s="11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SUM(OSRRefD21_0_2x)+IFERROR(SUM(OSRRefE21_0_2x),0)</f>
        <v>0</v>
      </c>
    </row>
    <row r="44" spans="1:17" s="34" customFormat="1" hidden="1" outlineLevel="1" x14ac:dyDescent="0.25">
      <c r="A44" s="35"/>
      <c r="B44" s="10" t="str">
        <f>CONCATENATE("          ","6114", " - ","STATE UNEMPLOYMENT INSURANCE")</f>
        <v xml:space="preserve">          6114 - STATE UNEMPLOYMENT INSURANCE</v>
      </c>
      <c r="C44" s="11"/>
      <c r="D44" s="2"/>
      <c r="E44" s="2">
        <v>8.74</v>
      </c>
      <c r="F44" s="2">
        <v>12.3</v>
      </c>
      <c r="G44" s="2">
        <v>16.98</v>
      </c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SUM(OSRRefD21_0_3x)+IFERROR(SUM(OSRRefE21_0_3x),0)</f>
        <v>38.019999999999996</v>
      </c>
    </row>
    <row r="45" spans="1:17" s="34" customFormat="1" hidden="1" outlineLevel="1" x14ac:dyDescent="0.25">
      <c r="A45" s="35"/>
      <c r="B45" s="10" t="str">
        <f>CONCATENATE("          ","6115", " - ","P.E.R.S.")</f>
        <v xml:space="preserve">          6115 - P.E.R.S.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SUM(OSRRefD21_0_4x)+IFERROR(SUM(OSRRefE21_0_4x),0)</f>
        <v>0</v>
      </c>
    </row>
    <row r="46" spans="1:17" s="34" customFormat="1" hidden="1" outlineLevel="1" x14ac:dyDescent="0.25">
      <c r="A46" s="35"/>
      <c r="B46" s="10" t="str">
        <f>CONCATENATE("          ","6116", " - ","EDUCATIONAL BENEFITS")</f>
        <v xml:space="preserve">          6116 - EDUCATIONAL BENEFITS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SUM(OSRRefD21_0_5x)+IFERROR(SUM(OSRRefE21_0_5x),0)</f>
        <v>0</v>
      </c>
    </row>
    <row r="47" spans="1:17" s="34" customFormat="1" hidden="1" outlineLevel="1" x14ac:dyDescent="0.25">
      <c r="A47" s="35"/>
      <c r="B47" s="10" t="str">
        <f>CONCATENATE("          ","6117", " - ","RETIREMENT STAFF HOURLY")</f>
        <v xml:space="preserve">          6117 - RETIREMENT STAFF HOURLY</v>
      </c>
      <c r="C47" s="11"/>
      <c r="D47" s="2"/>
      <c r="E47" s="2"/>
      <c r="F47" s="2"/>
      <c r="G47" s="2"/>
      <c r="H47" s="2"/>
      <c r="I47" s="2"/>
      <c r="J47" s="2">
        <v>0</v>
      </c>
      <c r="K47" s="2"/>
      <c r="L47" s="2"/>
      <c r="M47" s="2"/>
      <c r="N47" s="2"/>
      <c r="O47" s="2"/>
      <c r="P47" s="9"/>
      <c r="Q47" s="2">
        <f>SUM(OSRRefD21_0_6x)+IFERROR(SUM(OSRRefE21_0_6x),0)</f>
        <v>0</v>
      </c>
    </row>
    <row r="48" spans="1:17" s="34" customFormat="1" hidden="1" outlineLevel="1" x14ac:dyDescent="0.25">
      <c r="A48" s="35"/>
      <c r="B48" s="10" t="str">
        <f>CONCATENATE("          ","6118", " - ","VACATION")</f>
        <v xml:space="preserve">          6118 - VACATION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SUM(OSRRefD21_0_7x)+IFERROR(SUM(OSRRefE21_0_7x),0)</f>
        <v>0</v>
      </c>
    </row>
    <row r="49" spans="1:17" s="34" customFormat="1" hidden="1" outlineLevel="1" x14ac:dyDescent="0.25">
      <c r="A49" s="35"/>
      <c r="B49" s="10" t="str">
        <f>CONCATENATE("          ","6119", " - ","SICK LEAVE")</f>
        <v xml:space="preserve">          6119 - SICK LEAVE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0</v>
      </c>
      <c r="O49" s="2">
        <v>0</v>
      </c>
      <c r="P49" s="9"/>
      <c r="Q49" s="2">
        <f>SUM(OSRRefD21_0_8x)+IFERROR(SUM(OSRRefE21_0_8x),0)</f>
        <v>0</v>
      </c>
    </row>
    <row r="50" spans="1:17" s="34" customFormat="1" collapsed="1" x14ac:dyDescent="0.25">
      <c r="A50" s="35"/>
      <c r="B50" s="11" t="str">
        <f>CONCATENATE("     ","*Payroll                                          ")</f>
        <v xml:space="preserve">     *Payroll                                          </v>
      </c>
      <c r="C50" s="11"/>
      <c r="D50" s="1">
        <f>SUM(OSRRefD21_1x_0)</f>
        <v>0</v>
      </c>
      <c r="E50" s="1">
        <f>SUM(OSRRefD21_1x_1)</f>
        <v>4507.12</v>
      </c>
      <c r="F50" s="1">
        <f>SUM(OSRRefD21_1x_2)</f>
        <v>2735.85</v>
      </c>
      <c r="G50" s="1">
        <f>SUM(OSRRefD21_1x_3)</f>
        <v>891.38</v>
      </c>
      <c r="H50" s="1">
        <f>SUM(OSRRefD21_1x_4)</f>
        <v>18.190000000000001</v>
      </c>
      <c r="I50" s="1">
        <f>SUM(OSRRefD21_1x_5)</f>
        <v>0</v>
      </c>
      <c r="J50" s="1">
        <f>SUM(OSRRefD21_1x_6)</f>
        <v>0</v>
      </c>
      <c r="K50" s="1">
        <f>SUM(OSRRefD21_1x_7)</f>
        <v>0</v>
      </c>
      <c r="L50" s="1">
        <f>SUM(OSRRefD21_1x_8)</f>
        <v>0</v>
      </c>
      <c r="M50" s="1">
        <f>SUM(OSRRefD21_1x_9)</f>
        <v>0</v>
      </c>
      <c r="N50" s="1">
        <f>SUM(OSRRefE21_1x_0)</f>
        <v>0</v>
      </c>
      <c r="O50" s="1">
        <f>SUM(OSRRefE21_1x_1)</f>
        <v>0</v>
      </c>
      <c r="Q50" s="2">
        <f>SUM(OSRRefD20_1x)+IFERROR(SUM(OSRRefE20_1x),0)</f>
        <v>8152.5399999999991</v>
      </c>
    </row>
    <row r="51" spans="1:17" s="34" customFormat="1" hidden="1" outlineLevel="1" x14ac:dyDescent="0.25">
      <c r="A51" s="35"/>
      <c r="B51" s="10" t="str">
        <f>CONCATENATE("          ","6001", " - ","ADMINISTRATIVE SALARIES")</f>
        <v xml:space="preserve">          6001 - ADMINISTRATIVE SALARIES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SUM(OSRRefD21_1_0x)+IFERROR(SUM(OSRRefE21_1_0x),0)</f>
        <v>0</v>
      </c>
    </row>
    <row r="52" spans="1:17" s="34" customFormat="1" hidden="1" outlineLevel="1" x14ac:dyDescent="0.25">
      <c r="A52" s="35"/>
      <c r="B52" s="10" t="str">
        <f>CONCATENATE("          ","6002", " - ","STAFF SALARIES")</f>
        <v xml:space="preserve">          6002 - STAFF SALARIES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SUM(OSRRefD21_1_1x)+IFERROR(SUM(OSRRefE21_1_1x),0)</f>
        <v>0</v>
      </c>
    </row>
    <row r="53" spans="1:17" s="34" customFormat="1" hidden="1" outlineLevel="1" x14ac:dyDescent="0.25">
      <c r="A53" s="35"/>
      <c r="B53" s="10" t="str">
        <f>CONCATENATE("          ","6003", " - ","STAFF HOURLY-9 MONTH")</f>
        <v xml:space="preserve">          6003 - STAFF HOURLY-9 MONTH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>
        <v>0</v>
      </c>
      <c r="O53" s="2">
        <v>0</v>
      </c>
      <c r="P53" s="9"/>
      <c r="Q53" s="2">
        <f>SUM(OSRRefD21_1_2x)+IFERROR(SUM(OSRRefE21_1_2x),0)</f>
        <v>0</v>
      </c>
    </row>
    <row r="54" spans="1:17" s="34" customFormat="1" hidden="1" outlineLevel="1" x14ac:dyDescent="0.25">
      <c r="A54" s="35"/>
      <c r="B54" s="10" t="str">
        <f>CONCATENATE("          ","6004", " - ","STAFF HOURLY")</f>
        <v xml:space="preserve">          6004 - STAFF HOURLY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SUM(OSRRefD21_1_3x)+IFERROR(SUM(OSRRefE21_1_3x),0)</f>
        <v>0</v>
      </c>
    </row>
    <row r="55" spans="1:17" s="34" customFormat="1" hidden="1" outlineLevel="1" x14ac:dyDescent="0.25">
      <c r="A55" s="35"/>
      <c r="B55" s="10" t="str">
        <f>CONCATENATE("          ","6005", " - ","TEMPORARY WAGES-HOURLY")</f>
        <v xml:space="preserve">          6005 - TEMPORARY WAGES-HOURLY</v>
      </c>
      <c r="C55" s="11"/>
      <c r="D55" s="2"/>
      <c r="E55" s="2">
        <v>2408.23</v>
      </c>
      <c r="F55" s="2">
        <v>1948.22</v>
      </c>
      <c r="G55" s="2">
        <v>1004.55</v>
      </c>
      <c r="H55" s="2">
        <v>18.190000000000001</v>
      </c>
      <c r="I55" s="2"/>
      <c r="J55" s="2"/>
      <c r="K55" s="2"/>
      <c r="L55" s="2"/>
      <c r="M55" s="2"/>
      <c r="N55" s="2">
        <v>0</v>
      </c>
      <c r="O55" s="2">
        <v>0</v>
      </c>
      <c r="P55" s="9"/>
      <c r="Q55" s="2">
        <f>SUM(OSRRefD21_1_4x)+IFERROR(SUM(OSRRefE21_1_4x),0)</f>
        <v>5379.19</v>
      </c>
    </row>
    <row r="56" spans="1:17" s="34" customFormat="1" hidden="1" outlineLevel="1" x14ac:dyDescent="0.25">
      <c r="A56" s="35"/>
      <c r="B56" s="10" t="str">
        <f>CONCATENATE("          ","6006", " - ","TEMPORARY PART TIME")</f>
        <v xml:space="preserve">          6006 - TEMPORARY PART TIME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0</v>
      </c>
      <c r="O56" s="2">
        <v>0</v>
      </c>
      <c r="P56" s="9"/>
      <c r="Q56" s="2">
        <f>SUM(OSRRefD21_1_5x)+IFERROR(SUM(OSRRefE21_1_5x),0)</f>
        <v>0</v>
      </c>
    </row>
    <row r="57" spans="1:17" s="34" customFormat="1" hidden="1" outlineLevel="1" x14ac:dyDescent="0.25">
      <c r="A57" s="35"/>
      <c r="B57" s="10" t="str">
        <f>CONCATENATE("          ","6007", " - ","STUDENT HOURLY")</f>
        <v xml:space="preserve">          6007 - STUDENT HOURLY</v>
      </c>
      <c r="C57" s="11"/>
      <c r="D57" s="2"/>
      <c r="E57" s="2">
        <v>2098.89</v>
      </c>
      <c r="F57" s="2">
        <v>787.63</v>
      </c>
      <c r="G57" s="2">
        <v>-113.17</v>
      </c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SUM(OSRRefD21_1_6x)+IFERROR(SUM(OSRRefE21_1_6x),0)</f>
        <v>2773.35</v>
      </c>
    </row>
    <row r="58" spans="1:17" s="34" customFormat="1" hidden="1" outlineLevel="1" x14ac:dyDescent="0.25">
      <c r="A58" s="35"/>
      <c r="B58" s="10" t="str">
        <f>CONCATENATE("          ","6008", " - ","STUDENT HOURLY-FICA EXEMPT")</f>
        <v xml:space="preserve">          6008 - STUDENT HOURLY-FICA EXEMPT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SUM(OSRRefD21_1_7x)+IFERROR(SUM(OSRRefE21_1_7x),0)</f>
        <v>0</v>
      </c>
    </row>
    <row r="59" spans="1:17" s="34" customFormat="1" hidden="1" outlineLevel="1" x14ac:dyDescent="0.25">
      <c r="A59" s="35"/>
      <c r="B59" s="10" t="str">
        <f>CONCATENATE("          ","6009", " - ","TEMPORARY-SEASONAL")</f>
        <v xml:space="preserve">          6009 - TEMPORARY-SEASONAL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0</v>
      </c>
      <c r="O59" s="2">
        <v>0</v>
      </c>
      <c r="P59" s="9"/>
      <c r="Q59" s="2">
        <f>SUM(OSRRefD21_1_8x)+IFERROR(SUM(OSRRefE21_1_8x),0)</f>
        <v>0</v>
      </c>
    </row>
    <row r="60" spans="1:17" s="34" customFormat="1" hidden="1" outlineLevel="1" x14ac:dyDescent="0.25">
      <c r="A60" s="35"/>
      <c r="B60" s="10" t="str">
        <f>CONCATENATE("          ","6010", " - ","GRATUITY")</f>
        <v xml:space="preserve">          6010 - GRATUITY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SUM(OSRRefD21_1_9x)+IFERROR(SUM(OSRRefE21_1_9x),0)</f>
        <v>0</v>
      </c>
    </row>
    <row r="61" spans="1:17" s="34" customFormat="1" collapsed="1" x14ac:dyDescent="0.25">
      <c r="A61" s="35"/>
      <c r="B61" s="11" t="str">
        <f>CONCATENATE("     ","Advertising/Promo                                 ")</f>
        <v xml:space="preserve">     Advertising/Promo                                 </v>
      </c>
      <c r="C61" s="11"/>
      <c r="D61" s="1">
        <f>SUM(OSRRefD21_2x_0)</f>
        <v>0</v>
      </c>
      <c r="E61" s="1">
        <f>SUM(OSRRefD21_2x_1)</f>
        <v>0</v>
      </c>
      <c r="F61" s="1">
        <f>SUM(OSRRefD21_2x_2)</f>
        <v>0</v>
      </c>
      <c r="G61" s="1">
        <f>SUM(OSRRefD21_2x_3)</f>
        <v>124.72</v>
      </c>
      <c r="H61" s="1">
        <f>SUM(OSRRefD21_2x_4)</f>
        <v>0</v>
      </c>
      <c r="I61" s="1">
        <f>SUM(OSRRefD21_2x_5)</f>
        <v>0</v>
      </c>
      <c r="J61" s="1">
        <f>SUM(OSRRefD21_2x_6)</f>
        <v>0</v>
      </c>
      <c r="K61" s="1">
        <f>SUM(OSRRefD21_2x_7)</f>
        <v>0</v>
      </c>
      <c r="L61" s="1">
        <f>SUM(OSRRefD21_2x_8)</f>
        <v>0</v>
      </c>
      <c r="M61" s="1">
        <f>SUM(OSRRefD21_2x_9)</f>
        <v>0</v>
      </c>
      <c r="N61" s="1">
        <f>SUM(OSRRefE21_2x_0)</f>
        <v>0</v>
      </c>
      <c r="O61" s="1">
        <f>SUM(OSRRefE21_2x_1)</f>
        <v>0</v>
      </c>
      <c r="Q61" s="2">
        <f>SUM(OSRRefD20_2x)+IFERROR(SUM(OSRRefE20_2x),0)</f>
        <v>124.72</v>
      </c>
    </row>
    <row r="62" spans="1:17" s="34" customFormat="1" hidden="1" outlineLevel="1" x14ac:dyDescent="0.25">
      <c r="A62" s="35"/>
      <c r="B62" s="10" t="str">
        <f>CONCATENATE("          ","6362", " - ","ADVERTISING EXPENSE")</f>
        <v xml:space="preserve">          6362 - ADVERTISING EXPENSE</v>
      </c>
      <c r="C62" s="11"/>
      <c r="D62" s="2"/>
      <c r="E62" s="2"/>
      <c r="F62" s="2"/>
      <c r="G62" s="2">
        <v>124.72</v>
      </c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SUM(OSRRefD21_2_0x)+IFERROR(SUM(OSRRefE21_2_0x),0)</f>
        <v>124.72</v>
      </c>
    </row>
    <row r="63" spans="1:17" s="34" customFormat="1" collapsed="1" x14ac:dyDescent="0.25">
      <c r="A63" s="35"/>
      <c r="B63" s="11" t="str">
        <f>CONCATENATE("     ","Bad Debts/Over/Short                              ")</f>
        <v xml:space="preserve">     Bad Debts/Over/Short                              </v>
      </c>
      <c r="C63" s="11"/>
      <c r="D63" s="1">
        <f>SUM(OSRRefD21_3x_0)</f>
        <v>0</v>
      </c>
      <c r="E63" s="1">
        <f>SUM(OSRRefD21_3x_1)</f>
        <v>0.3</v>
      </c>
      <c r="F63" s="1">
        <f>SUM(OSRRefD21_3x_2)</f>
        <v>0.8</v>
      </c>
      <c r="G63" s="1">
        <f>SUM(OSRRefD21_3x_3)</f>
        <v>0</v>
      </c>
      <c r="H63" s="1">
        <f>SUM(OSRRefD21_3x_4)</f>
        <v>0</v>
      </c>
      <c r="I63" s="1">
        <f>SUM(OSRRefD21_3x_5)</f>
        <v>0</v>
      </c>
      <c r="J63" s="1">
        <f>SUM(OSRRefD21_3x_6)</f>
        <v>0</v>
      </c>
      <c r="K63" s="1">
        <f>SUM(OSRRefD21_3x_7)</f>
        <v>0</v>
      </c>
      <c r="L63" s="1">
        <f>SUM(OSRRefD21_3x_8)</f>
        <v>0</v>
      </c>
      <c r="M63" s="1">
        <f>SUM(OSRRefD21_3x_9)</f>
        <v>0</v>
      </c>
      <c r="N63" s="1">
        <f>SUM(OSRRefE21_3x_0)</f>
        <v>0</v>
      </c>
      <c r="O63" s="1">
        <f>SUM(OSRRefE21_3x_1)</f>
        <v>0</v>
      </c>
      <c r="Q63" s="2">
        <f>SUM(OSRRefD20_3x)+IFERROR(SUM(OSRRefE20_3x),0)</f>
        <v>1.1000000000000001</v>
      </c>
    </row>
    <row r="64" spans="1:17" s="34" customFormat="1" hidden="1" outlineLevel="1" x14ac:dyDescent="0.25">
      <c r="A64" s="35"/>
      <c r="B64" s="10" t="str">
        <f>CONCATENATE("          ","6272", " - ","CASH (OVER/SHORT)")</f>
        <v xml:space="preserve">          6272 - CASH (OVER/SHORT)</v>
      </c>
      <c r="C64" s="11"/>
      <c r="D64" s="2"/>
      <c r="E64" s="2">
        <v>0.3</v>
      </c>
      <c r="F64" s="2">
        <v>0.8</v>
      </c>
      <c r="G64" s="2">
        <v>0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SUM(OSRRefD21_3_0x)+IFERROR(SUM(OSRRefE21_3_0x),0)</f>
        <v>1.1000000000000001</v>
      </c>
    </row>
    <row r="65" spans="1:17" s="34" customFormat="1" collapsed="1" x14ac:dyDescent="0.25">
      <c r="A65" s="35"/>
      <c r="B65" s="11" t="str">
        <f>CONCATENATE("     ","Bank/card Fees                                    ")</f>
        <v xml:space="preserve">     Bank/card Fees                                    </v>
      </c>
      <c r="C65" s="11"/>
      <c r="D65" s="1">
        <f>SUM(OSRRefD21_4x_0)</f>
        <v>0</v>
      </c>
      <c r="E65" s="1">
        <f>SUM(OSRRefD21_4x_1)</f>
        <v>0</v>
      </c>
      <c r="F65" s="1">
        <f>SUM(OSRRefD21_4x_2)</f>
        <v>0</v>
      </c>
      <c r="G65" s="1">
        <f>SUM(OSRRefD21_4x_3)</f>
        <v>0</v>
      </c>
      <c r="H65" s="1">
        <f>SUM(OSRRefD21_4x_4)</f>
        <v>0</v>
      </c>
      <c r="I65" s="1">
        <f>SUM(OSRRefD21_4x_5)</f>
        <v>0</v>
      </c>
      <c r="J65" s="1">
        <f>SUM(OSRRefD21_4x_6)</f>
        <v>0</v>
      </c>
      <c r="K65" s="1">
        <f>SUM(OSRRefD21_4x_7)</f>
        <v>0</v>
      </c>
      <c r="L65" s="1">
        <f>SUM(OSRRefD21_4x_8)</f>
        <v>0</v>
      </c>
      <c r="M65" s="1">
        <f>SUM(OSRRefD21_4x_9)</f>
        <v>0</v>
      </c>
      <c r="N65" s="1">
        <f>SUM(OSRRefE21_4x_0)</f>
        <v>0</v>
      </c>
      <c r="O65" s="1">
        <f>SUM(OSRRefE21_4x_1)</f>
        <v>0</v>
      </c>
      <c r="Q65" s="2">
        <f>SUM(OSRRefD20_4x)+IFERROR(SUM(OSRRefE20_4x),0)</f>
        <v>0</v>
      </c>
    </row>
    <row r="66" spans="1:17" s="34" customFormat="1" hidden="1" outlineLevel="1" x14ac:dyDescent="0.25">
      <c r="A66" s="35"/>
      <c r="B66" s="10" t="str">
        <f>CONCATENATE("          ","6381", " - ","BANK/CREDIT CARD FEES")</f>
        <v xml:space="preserve">          6381 - BANK/CREDIT CARD FEES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SUM(OSRRefD21_4_0x)+IFERROR(SUM(OSRRefE21_4_0x),0)</f>
        <v>0</v>
      </c>
    </row>
    <row r="67" spans="1:17" s="34" customFormat="1" collapsed="1" x14ac:dyDescent="0.25">
      <c r="A67" s="35"/>
      <c r="B67" s="11" t="str">
        <f>CONCATENATE("     ","Discounts and Markdowns                           ")</f>
        <v xml:space="preserve">     Discounts and Markdowns                           </v>
      </c>
      <c r="C67" s="11"/>
      <c r="D67" s="1">
        <f>SUM(OSRRefD21_5x_0)</f>
        <v>0</v>
      </c>
      <c r="E67" s="1">
        <f>SUM(OSRRefD21_5x_1)</f>
        <v>0</v>
      </c>
      <c r="F67" s="1">
        <f>SUM(OSRRefD21_5x_2)</f>
        <v>0</v>
      </c>
      <c r="G67" s="1">
        <f>SUM(OSRRefD21_5x_3)</f>
        <v>-418.85</v>
      </c>
      <c r="H67" s="1">
        <f>SUM(OSRRefD21_5x_4)</f>
        <v>418.85</v>
      </c>
      <c r="I67" s="1">
        <f>SUM(OSRRefD21_5x_5)</f>
        <v>0</v>
      </c>
      <c r="J67" s="1">
        <f>SUM(OSRRefD21_5x_6)</f>
        <v>0</v>
      </c>
      <c r="K67" s="1">
        <f>SUM(OSRRefD21_5x_7)</f>
        <v>0</v>
      </c>
      <c r="L67" s="1">
        <f>SUM(OSRRefD21_5x_8)</f>
        <v>0</v>
      </c>
      <c r="M67" s="1">
        <f>SUM(OSRRefD21_5x_9)</f>
        <v>0</v>
      </c>
      <c r="N67" s="1">
        <f>SUM(OSRRefE21_5x_0)</f>
        <v>0</v>
      </c>
      <c r="O67" s="1">
        <f>SUM(OSRRefE21_5x_1)</f>
        <v>0</v>
      </c>
      <c r="Q67" s="2">
        <f>SUM(OSRRefD20_5x)+IFERROR(SUM(OSRRefE20_5x),0)</f>
        <v>0</v>
      </c>
    </row>
    <row r="68" spans="1:17" s="34" customFormat="1" hidden="1" outlineLevel="1" x14ac:dyDescent="0.25">
      <c r="A68" s="35"/>
      <c r="B68" s="10" t="str">
        <f>CONCATENATE("          ","6382", " - ","DISCOUNTS/MARK DOWNS")</f>
        <v xml:space="preserve">          6382 - DISCOUNTS/MARK DOWNS</v>
      </c>
      <c r="C68" s="11"/>
      <c r="D68" s="2">
        <v>0</v>
      </c>
      <c r="E68" s="2">
        <v>0</v>
      </c>
      <c r="F68" s="2">
        <v>0</v>
      </c>
      <c r="G68" s="2">
        <v>0</v>
      </c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SUM(OSRRefD21_5_0x)+IFERROR(SUM(OSRRefE21_5_0x),0)</f>
        <v>0</v>
      </c>
    </row>
    <row r="69" spans="1:17" s="34" customFormat="1" hidden="1" outlineLevel="1" x14ac:dyDescent="0.25">
      <c r="A69" s="35"/>
      <c r="B69" s="10" t="str">
        <f>CONCATENATE("          ","9175", " - ","EARNED DISCOUNTS")</f>
        <v xml:space="preserve">          9175 - EARNED DISCOUNTS</v>
      </c>
      <c r="C69" s="11"/>
      <c r="D69" s="2"/>
      <c r="E69" s="2"/>
      <c r="F69" s="2"/>
      <c r="G69" s="2">
        <v>-418.85</v>
      </c>
      <c r="H69" s="2">
        <v>418.85</v>
      </c>
      <c r="I69" s="2"/>
      <c r="J69" s="2"/>
      <c r="K69" s="2"/>
      <c r="L69" s="2">
        <v>0</v>
      </c>
      <c r="M69" s="2">
        <v>0</v>
      </c>
      <c r="N69" s="2"/>
      <c r="O69" s="2"/>
      <c r="P69" s="9"/>
      <c r="Q69" s="2">
        <f>SUM(OSRRefD21_5_1x)+IFERROR(SUM(OSRRefE21_5_1x),0)</f>
        <v>0</v>
      </c>
    </row>
    <row r="70" spans="1:17" s="34" customFormat="1" collapsed="1" x14ac:dyDescent="0.25">
      <c r="A70" s="35"/>
      <c r="B70" s="11" t="str">
        <f>CONCATENATE("     ","Freight out/Postage                               ")</f>
        <v xml:space="preserve">     Freight out/Postage                               </v>
      </c>
      <c r="C70" s="11"/>
      <c r="D70" s="1">
        <f>SUM(OSRRefD21_6x_0)</f>
        <v>0</v>
      </c>
      <c r="E70" s="1">
        <f>SUM(OSRRefD21_6x_1)</f>
        <v>0</v>
      </c>
      <c r="F70" s="1">
        <f>SUM(OSRRefD21_6x_2)</f>
        <v>0</v>
      </c>
      <c r="G70" s="1">
        <f>SUM(OSRRefD21_6x_3)</f>
        <v>0</v>
      </c>
      <c r="H70" s="1">
        <f>SUM(OSRRefD21_6x_4)</f>
        <v>0</v>
      </c>
      <c r="I70" s="1">
        <f>SUM(OSRRefD21_6x_5)</f>
        <v>0</v>
      </c>
      <c r="J70" s="1">
        <f>SUM(OSRRefD21_6x_6)</f>
        <v>0</v>
      </c>
      <c r="K70" s="1">
        <f>SUM(OSRRefD21_6x_7)</f>
        <v>0</v>
      </c>
      <c r="L70" s="1">
        <f>SUM(OSRRefD21_6x_8)</f>
        <v>0</v>
      </c>
      <c r="M70" s="1">
        <f>SUM(OSRRefD21_6x_9)</f>
        <v>0</v>
      </c>
      <c r="N70" s="1">
        <f>SUM(OSRRefE21_6x_0)</f>
        <v>0</v>
      </c>
      <c r="O70" s="1">
        <f>SUM(OSRRefE21_6x_1)</f>
        <v>0</v>
      </c>
      <c r="Q70" s="2">
        <f>SUM(OSRRefD20_6x)+IFERROR(SUM(OSRRefE20_6x),0)</f>
        <v>0</v>
      </c>
    </row>
    <row r="71" spans="1:17" s="34" customFormat="1" hidden="1" outlineLevel="1" x14ac:dyDescent="0.25">
      <c r="A71" s="35"/>
      <c r="B71" s="10" t="str">
        <f>CONCATENATE("          ","6305", " - ","FREIGHT OUT")</f>
        <v xml:space="preserve">          6305 - FREIGHT OUT</v>
      </c>
      <c r="C71" s="11"/>
      <c r="D71" s="2">
        <v>0</v>
      </c>
      <c r="E71" s="2"/>
      <c r="F71" s="2">
        <v>0</v>
      </c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SUM(OSRRefD21_6_0x)+IFERROR(SUM(OSRRefE21_6_0x),0)</f>
        <v>0</v>
      </c>
    </row>
    <row r="72" spans="1:17" s="34" customFormat="1" hidden="1" outlineLevel="1" x14ac:dyDescent="0.25">
      <c r="A72" s="35"/>
      <c r="B72" s="10" t="str">
        <f>CONCATENATE("          ","6307", " - ","POSTAGE")</f>
        <v xml:space="preserve">          6307 - POSTAGE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SUM(OSRRefD21_6_1x)+IFERROR(SUM(OSRRefE21_6_1x),0)</f>
        <v>0</v>
      </c>
    </row>
    <row r="73" spans="1:17" s="34" customFormat="1" collapsed="1" x14ac:dyDescent="0.25">
      <c r="A73" s="35"/>
      <c r="B73" s="11" t="str">
        <f>CONCATENATE("     ","General                                           ")</f>
        <v xml:space="preserve">     General                                           </v>
      </c>
      <c r="C73" s="11"/>
      <c r="D73" s="1">
        <f>SUM(OSRRefD21_7x_0)</f>
        <v>719.55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160</v>
      </c>
      <c r="J73" s="1">
        <f>SUM(OSRRefD21_7x_6)</f>
        <v>0</v>
      </c>
      <c r="K73" s="1">
        <f>SUM(OSRRefD21_7x_7)</f>
        <v>0</v>
      </c>
      <c r="L73" s="1">
        <f>SUM(OSRRefD21_7x_8)</f>
        <v>0</v>
      </c>
      <c r="M73" s="1">
        <f>SUM(OSRRefD21_7x_9)</f>
        <v>0</v>
      </c>
      <c r="N73" s="1">
        <f>SUM(OSRRefE21_7x_0)</f>
        <v>0</v>
      </c>
      <c r="O73" s="1">
        <f>SUM(OSRRefE21_7x_1)</f>
        <v>0</v>
      </c>
      <c r="Q73" s="2">
        <f>SUM(OSRRefD20_7x)+IFERROR(SUM(OSRRefE20_7x),0)</f>
        <v>879.55</v>
      </c>
    </row>
    <row r="74" spans="1:17" s="34" customFormat="1" hidden="1" outlineLevel="1" x14ac:dyDescent="0.25">
      <c r="A74" s="35"/>
      <c r="B74" s="10" t="str">
        <f>CONCATENATE("          ","6279", " - ","GENERAL EXPENSE")</f>
        <v xml:space="preserve">          6279 - GENERAL EXPENSE</v>
      </c>
      <c r="C74" s="11"/>
      <c r="D74" s="2">
        <v>719.55</v>
      </c>
      <c r="E74" s="2"/>
      <c r="F74" s="2"/>
      <c r="G74" s="2"/>
      <c r="H74" s="2"/>
      <c r="I74" s="2">
        <v>160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879.55</v>
      </c>
    </row>
    <row r="75" spans="1:17" s="34" customFormat="1" collapsed="1" x14ac:dyDescent="0.25">
      <c r="A75" s="35"/>
      <c r="B75" s="11" t="str">
        <f>CONCATENATE("     ","Repair and Maintenance                            ")</f>
        <v xml:space="preserve">     Repair and Maintenance                            </v>
      </c>
      <c r="C75" s="11"/>
      <c r="D75" s="1">
        <f>SUM(OSRRefD21_8x_0)</f>
        <v>0</v>
      </c>
      <c r="E75" s="1">
        <f>SUM(OSRRefD21_8x_1)</f>
        <v>78.599999999999994</v>
      </c>
      <c r="F75" s="1">
        <f>SUM(OSRRefD21_8x_2)</f>
        <v>61.11</v>
      </c>
      <c r="G75" s="1">
        <f>SUM(OSRRefD21_8x_3)</f>
        <v>0</v>
      </c>
      <c r="H75" s="1">
        <f>SUM(OSRRefD21_8x_4)</f>
        <v>0</v>
      </c>
      <c r="I75" s="1">
        <f>SUM(OSRRefD21_8x_5)</f>
        <v>61.11</v>
      </c>
      <c r="J75" s="1">
        <f>SUM(OSRRefD21_8x_6)</f>
        <v>0</v>
      </c>
      <c r="K75" s="1">
        <f>SUM(OSRRefD21_8x_7)</f>
        <v>0</v>
      </c>
      <c r="L75" s="1">
        <f>SUM(OSRRefD21_8x_8)</f>
        <v>61.11</v>
      </c>
      <c r="M75" s="1">
        <f>SUM(OSRRefD21_8x_9)</f>
        <v>0</v>
      </c>
      <c r="N75" s="1">
        <f>SUM(OSRRefE21_8x_0)</f>
        <v>0</v>
      </c>
      <c r="O75" s="1">
        <f>SUM(OSRRefE21_8x_1)</f>
        <v>0</v>
      </c>
      <c r="Q75" s="2">
        <f>SUM(OSRRefD20_8x)+IFERROR(SUM(OSRRefE20_8x),0)</f>
        <v>261.93</v>
      </c>
    </row>
    <row r="76" spans="1:17" s="34" customFormat="1" hidden="1" outlineLevel="1" x14ac:dyDescent="0.25">
      <c r="A76" s="35"/>
      <c r="B76" s="10" t="str">
        <f>CONCATENATE("          ","6373", " - ","MAINTENANCE CONTRACTS")</f>
        <v xml:space="preserve">          6373 - MAINTENANCE CONTRACTS</v>
      </c>
      <c r="C76" s="11"/>
      <c r="D76" s="2"/>
      <c r="E76" s="2">
        <v>78.599999999999994</v>
      </c>
      <c r="F76" s="2">
        <v>61.11</v>
      </c>
      <c r="G76" s="2"/>
      <c r="H76" s="2"/>
      <c r="I76" s="2">
        <v>61.11</v>
      </c>
      <c r="J76" s="2"/>
      <c r="K76" s="2"/>
      <c r="L76" s="2">
        <v>61.11</v>
      </c>
      <c r="M76" s="2"/>
      <c r="N76" s="2"/>
      <c r="O76" s="2"/>
      <c r="P76" s="9"/>
      <c r="Q76" s="2">
        <f>SUM(OSRRefD21_8_0x)+IFERROR(SUM(OSRRefE21_8_0x),0)</f>
        <v>261.93</v>
      </c>
    </row>
    <row r="77" spans="1:17" s="34" customFormat="1" hidden="1" outlineLevel="1" x14ac:dyDescent="0.25">
      <c r="A77" s="35"/>
      <c r="B77" s="10" t="str">
        <f>CONCATENATE("          ","6375", " - ","OUTSIDE REPAIRS &amp; MAINTENANCE")</f>
        <v xml:space="preserve">          6375 - OUTSIDE REPAIRS &amp; MAINTENANCE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0</v>
      </c>
      <c r="O77" s="2">
        <v>0</v>
      </c>
      <c r="P77" s="9"/>
      <c r="Q77" s="2">
        <f>SUM(OSRRefD21_8_1x)+IFERROR(SUM(OSRRefE21_8_1x),0)</f>
        <v>0</v>
      </c>
    </row>
    <row r="78" spans="1:17" s="34" customFormat="1" collapsed="1" x14ac:dyDescent="0.25">
      <c r="A78" s="35"/>
      <c r="B78" s="11" t="str">
        <f>CONCATENATE("     ","Services                                          ")</f>
        <v xml:space="preserve">     Services                                          </v>
      </c>
      <c r="C78" s="11"/>
      <c r="D78" s="1">
        <f>SUM(OSRRefD21_9x_0)</f>
        <v>-113.5</v>
      </c>
      <c r="E78" s="1">
        <f>SUM(OSRRefD21_9x_1)</f>
        <v>44</v>
      </c>
      <c r="F78" s="1">
        <f>SUM(OSRRefD21_9x_2)</f>
        <v>44</v>
      </c>
      <c r="G78" s="1">
        <f>SUM(OSRRefD21_9x_3)</f>
        <v>0</v>
      </c>
      <c r="H78" s="1">
        <f>SUM(OSRRefD21_9x_4)</f>
        <v>44</v>
      </c>
      <c r="I78" s="1">
        <f>SUM(OSRRefD21_9x_5)</f>
        <v>0</v>
      </c>
      <c r="J78" s="1">
        <f>SUM(OSRRefD21_9x_6)</f>
        <v>0</v>
      </c>
      <c r="K78" s="1">
        <f>SUM(OSRRefD21_9x_7)</f>
        <v>0</v>
      </c>
      <c r="L78" s="1">
        <f>SUM(OSRRefD21_9x_8)</f>
        <v>0</v>
      </c>
      <c r="M78" s="1">
        <f>SUM(OSRRefD21_9x_9)</f>
        <v>0</v>
      </c>
      <c r="N78" s="1">
        <f>SUM(OSRRefE21_9x_0)</f>
        <v>0</v>
      </c>
      <c r="O78" s="1">
        <f>SUM(OSRRefE21_9x_1)</f>
        <v>0</v>
      </c>
      <c r="Q78" s="2">
        <f>SUM(OSRRefD20_9x)+IFERROR(SUM(OSRRefE20_9x),0)</f>
        <v>18.5</v>
      </c>
    </row>
    <row r="79" spans="1:17" s="34" customFormat="1" hidden="1" outlineLevel="1" x14ac:dyDescent="0.25">
      <c r="A79" s="35"/>
      <c r="B79" s="10" t="str">
        <f>CONCATENATE("          ","6282", " - ","JANITORIAL/EXTERMINATOR EXPENS")</f>
        <v xml:space="preserve">          6282 - JANITORIAL/EXTERMINATOR EXPENS</v>
      </c>
      <c r="C79" s="11"/>
      <c r="D79" s="2">
        <v>44</v>
      </c>
      <c r="E79" s="2">
        <v>44</v>
      </c>
      <c r="F79" s="2">
        <v>44</v>
      </c>
      <c r="G79" s="2"/>
      <c r="H79" s="2">
        <v>44</v>
      </c>
      <c r="I79" s="2"/>
      <c r="J79" s="2"/>
      <c r="K79" s="2"/>
      <c r="L79" s="2"/>
      <c r="M79" s="2"/>
      <c r="N79" s="2"/>
      <c r="O79" s="2"/>
      <c r="P79" s="9"/>
      <c r="Q79" s="2">
        <f>SUM(OSRRefD21_9_0x)+IFERROR(SUM(OSRRefE21_9_0x),0)</f>
        <v>176</v>
      </c>
    </row>
    <row r="80" spans="1:17" s="34" customFormat="1" hidden="1" outlineLevel="1" x14ac:dyDescent="0.25">
      <c r="A80" s="35"/>
      <c r="B80" s="10" t="str">
        <f>CONCATENATE("          ","6285", " - ","JANITORIAL SERVICES")</f>
        <v xml:space="preserve">          6285 - JANITORIAL SERVICES</v>
      </c>
      <c r="C80" s="11"/>
      <c r="D80" s="2">
        <v>-157.5</v>
      </c>
      <c r="E80" s="2"/>
      <c r="F80" s="2"/>
      <c r="G80" s="2"/>
      <c r="H80" s="2"/>
      <c r="I80" s="2"/>
      <c r="J80" s="2"/>
      <c r="K80" s="2"/>
      <c r="L80" s="2"/>
      <c r="M80" s="2"/>
      <c r="N80" s="2">
        <v>0</v>
      </c>
      <c r="O80" s="2">
        <v>0</v>
      </c>
      <c r="P80" s="9"/>
      <c r="Q80" s="2">
        <f>SUM(OSRRefD21_9_1x)+IFERROR(SUM(OSRRefE21_9_1x),0)</f>
        <v>-157.5</v>
      </c>
    </row>
    <row r="81" spans="1:17" s="34" customFormat="1" collapsed="1" x14ac:dyDescent="0.25">
      <c r="A81" s="35"/>
      <c r="B81" s="11" t="str">
        <f>CONCATENATE("     ","Supplies                                          ")</f>
        <v xml:space="preserve">     Supplies                                          </v>
      </c>
      <c r="C81" s="11"/>
      <c r="D81" s="1">
        <f>SUM(OSRRefD21_10x_0)</f>
        <v>444.3</v>
      </c>
      <c r="E81" s="1">
        <f>SUM(OSRRefD21_10x_1)</f>
        <v>485.36</v>
      </c>
      <c r="F81" s="1">
        <f>SUM(OSRRefD21_10x_2)</f>
        <v>418.01</v>
      </c>
      <c r="G81" s="1">
        <f>SUM(OSRRefD21_10x_3)</f>
        <v>544.6</v>
      </c>
      <c r="H81" s="1">
        <f>SUM(OSRRefD21_10x_4)</f>
        <v>0</v>
      </c>
      <c r="I81" s="1">
        <f>SUM(OSRRefD21_10x_5)</f>
        <v>0</v>
      </c>
      <c r="J81" s="1">
        <f>SUM(OSRRefD21_10x_6)</f>
        <v>0</v>
      </c>
      <c r="K81" s="1">
        <f>SUM(OSRRefD21_10x_7)</f>
        <v>0</v>
      </c>
      <c r="L81" s="1">
        <f>SUM(OSRRefD21_10x_8)</f>
        <v>0</v>
      </c>
      <c r="M81" s="1">
        <f>SUM(OSRRefD21_10x_9)</f>
        <v>0</v>
      </c>
      <c r="N81" s="1">
        <f>SUM(OSRRefE21_10x_0)</f>
        <v>0</v>
      </c>
      <c r="O81" s="1">
        <f>SUM(OSRRefE21_10x_1)</f>
        <v>0</v>
      </c>
      <c r="Q81" s="2">
        <f>SUM(OSRRefD20_10x)+IFERROR(SUM(OSRRefE20_10x),0)</f>
        <v>1892.27</v>
      </c>
    </row>
    <row r="82" spans="1:17" s="34" customFormat="1" hidden="1" outlineLevel="1" x14ac:dyDescent="0.25">
      <c r="A82" s="35"/>
      <c r="B82" s="10" t="str">
        <f>CONCATENATE("          ","6235", " - ","COVID-19 EXPENSES")</f>
        <v xml:space="preserve">          6235 - COVID-19 EXPENSES</v>
      </c>
      <c r="C82" s="11"/>
      <c r="D82" s="2">
        <v>444.3</v>
      </c>
      <c r="E82" s="2"/>
      <c r="F82" s="2"/>
      <c r="G82" s="2"/>
      <c r="H82" s="2"/>
      <c r="I82" s="2"/>
      <c r="J82" s="2"/>
      <c r="K82" s="2"/>
      <c r="L82" s="2"/>
      <c r="M82" s="2"/>
      <c r="N82" s="2">
        <v>0</v>
      </c>
      <c r="O82" s="2">
        <v>0</v>
      </c>
      <c r="P82" s="9"/>
      <c r="Q82" s="2">
        <f>SUM(OSRRefD21_10_0x)+IFERROR(SUM(OSRRefE21_10_0x),0)</f>
        <v>444.3</v>
      </c>
    </row>
    <row r="83" spans="1:17" s="34" customFormat="1" hidden="1" outlineLevel="1" x14ac:dyDescent="0.25">
      <c r="A83" s="35"/>
      <c r="B83" s="10" t="str">
        <f>CONCATENATE("          ","6241", " - ","OFFICE EXPENSE")</f>
        <v xml:space="preserve">          6241 - OFFICE EXPENSE</v>
      </c>
      <c r="C83" s="11"/>
      <c r="D83" s="2"/>
      <c r="E83" s="2">
        <v>225.24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SUM(OSRRefD21_10_1x)+IFERROR(SUM(OSRRefE21_10_1x),0)</f>
        <v>225.24</v>
      </c>
    </row>
    <row r="84" spans="1:17" s="34" customFormat="1" hidden="1" outlineLevel="1" x14ac:dyDescent="0.25">
      <c r="A84" s="35"/>
      <c r="B84" s="10" t="str">
        <f>CONCATENATE("          ","6247", " - ","STORE SUPPLIES")</f>
        <v xml:space="preserve">          6247 - STORE SUPPLIES</v>
      </c>
      <c r="C84" s="11"/>
      <c r="D84" s="2"/>
      <c r="E84" s="2">
        <v>260.12</v>
      </c>
      <c r="F84" s="2">
        <v>418.01</v>
      </c>
      <c r="G84" s="2">
        <v>544.6</v>
      </c>
      <c r="H84" s="2"/>
      <c r="I84" s="2"/>
      <c r="J84" s="2"/>
      <c r="K84" s="2"/>
      <c r="L84" s="2"/>
      <c r="M84" s="2"/>
      <c r="N84" s="2">
        <v>0</v>
      </c>
      <c r="O84" s="2">
        <v>0</v>
      </c>
      <c r="P84" s="9"/>
      <c r="Q84" s="2">
        <f>SUM(OSRRefD21_10_2x)+IFERROR(SUM(OSRRefE21_10_2x),0)</f>
        <v>1222.73</v>
      </c>
    </row>
    <row r="85" spans="1:17" s="34" customFormat="1" collapsed="1" x14ac:dyDescent="0.25">
      <c r="A85" s="35"/>
      <c r="B85" s="11" t="str">
        <f>CONCATENATE("     ","Telephone/Data Lines                              ")</f>
        <v xml:space="preserve">     Telephone/Data Lines                              </v>
      </c>
      <c r="C85" s="11"/>
      <c r="D85" s="1">
        <f>SUM(OSRRefD21_11x_0)</f>
        <v>53</v>
      </c>
      <c r="E85" s="1">
        <f>SUM(OSRRefD21_11x_1)</f>
        <v>53</v>
      </c>
      <c r="F85" s="1">
        <f>SUM(OSRRefD21_11x_2)</f>
        <v>100</v>
      </c>
      <c r="G85" s="1">
        <f>SUM(OSRRefD21_11x_3)</f>
        <v>53.9</v>
      </c>
      <c r="H85" s="1">
        <f>SUM(OSRRefD21_11x_4)</f>
        <v>53.15</v>
      </c>
      <c r="I85" s="1">
        <f>SUM(OSRRefD21_11x_5)</f>
        <v>53</v>
      </c>
      <c r="J85" s="1">
        <f>SUM(OSRRefD21_11x_6)</f>
        <v>53</v>
      </c>
      <c r="K85" s="1">
        <f>SUM(OSRRefD21_11x_7)</f>
        <v>53</v>
      </c>
      <c r="L85" s="1">
        <f>SUM(OSRRefD21_11x_8)</f>
        <v>53</v>
      </c>
      <c r="M85" s="1">
        <f>SUM(OSRRefD21_11x_9)</f>
        <v>53</v>
      </c>
      <c r="N85" s="1">
        <f>SUM(OSRRefE21_11x_0)</f>
        <v>0</v>
      </c>
      <c r="O85" s="1">
        <f>SUM(OSRRefE21_11x_1)</f>
        <v>0</v>
      </c>
      <c r="Q85" s="2">
        <f>SUM(OSRRefD20_11x)+IFERROR(SUM(OSRRefE20_11x),0)</f>
        <v>578.04999999999995</v>
      </c>
    </row>
    <row r="86" spans="1:17" s="34" customFormat="1" hidden="1" outlineLevel="1" x14ac:dyDescent="0.25">
      <c r="A86" s="35"/>
      <c r="B86" s="10" t="str">
        <f>CONCATENATE("          ","6303", " - ","DATA PHONE LINES")</f>
        <v xml:space="preserve">          6303 - DATA PHONE LINES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>
        <v>0</v>
      </c>
      <c r="O86" s="2">
        <v>0</v>
      </c>
      <c r="P86" s="9"/>
      <c r="Q86" s="2">
        <f>SUM(OSRRefD21_11_0x)+IFERROR(SUM(OSRRefE21_11_0x),0)</f>
        <v>0</v>
      </c>
    </row>
    <row r="87" spans="1:17" s="34" customFormat="1" hidden="1" outlineLevel="1" x14ac:dyDescent="0.25">
      <c r="A87" s="35"/>
      <c r="B87" s="10" t="str">
        <f>CONCATENATE("          ","6309", " - ","TELEPHONE")</f>
        <v xml:space="preserve">          6309 - TELEPHONE</v>
      </c>
      <c r="C87" s="11"/>
      <c r="D87" s="2">
        <v>53</v>
      </c>
      <c r="E87" s="2">
        <v>53</v>
      </c>
      <c r="F87" s="2">
        <v>100</v>
      </c>
      <c r="G87" s="2">
        <v>53.9</v>
      </c>
      <c r="H87" s="2">
        <v>53.15</v>
      </c>
      <c r="I87" s="2">
        <v>53</v>
      </c>
      <c r="J87" s="2">
        <v>53</v>
      </c>
      <c r="K87" s="2">
        <v>53</v>
      </c>
      <c r="L87" s="2">
        <v>53</v>
      </c>
      <c r="M87" s="2">
        <v>53</v>
      </c>
      <c r="N87" s="2">
        <v>0</v>
      </c>
      <c r="O87" s="2">
        <v>0</v>
      </c>
      <c r="P87" s="9"/>
      <c r="Q87" s="2">
        <f>SUM(OSRRefD21_11_1x)+IFERROR(SUM(OSRRefE21_11_1x),0)</f>
        <v>578.04999999999995</v>
      </c>
    </row>
    <row r="88" spans="1:17" s="34" customFormat="1" collapsed="1" x14ac:dyDescent="0.25">
      <c r="A88" s="35"/>
      <c r="B88" s="11" t="str">
        <f>CONCATENATE("     ","Training                                          ")</f>
        <v xml:space="preserve">     Training                                          </v>
      </c>
      <c r="C88" s="11"/>
      <c r="D88" s="1">
        <f>SUM(OSRRefD21_12x_0)</f>
        <v>0</v>
      </c>
      <c r="E88" s="1">
        <f>SUM(OSRRefD21_12x_1)</f>
        <v>0</v>
      </c>
      <c r="F88" s="1">
        <f>SUM(OSRRefD21_12x_2)</f>
        <v>0</v>
      </c>
      <c r="G88" s="1">
        <f>SUM(OSRRefD21_12x_3)</f>
        <v>14</v>
      </c>
      <c r="H88" s="1">
        <f>SUM(OSRRefD21_12x_4)</f>
        <v>0</v>
      </c>
      <c r="I88" s="1">
        <f>SUM(OSRRefD21_12x_5)</f>
        <v>0</v>
      </c>
      <c r="J88" s="1">
        <f>SUM(OSRRefD21_12x_6)</f>
        <v>0</v>
      </c>
      <c r="K88" s="1">
        <f>SUM(OSRRefD21_12x_7)</f>
        <v>0</v>
      </c>
      <c r="L88" s="1">
        <f>SUM(OSRRefD21_12x_8)</f>
        <v>0</v>
      </c>
      <c r="M88" s="1">
        <f>SUM(OSRRefD21_12x_9)</f>
        <v>0</v>
      </c>
      <c r="N88" s="1">
        <f>SUM(OSRRefE21_12x_0)</f>
        <v>0</v>
      </c>
      <c r="O88" s="1">
        <f>SUM(OSRRefE21_12x_1)</f>
        <v>0</v>
      </c>
      <c r="Q88" s="2">
        <f>SUM(OSRRefD20_12x)+IFERROR(SUM(OSRRefE20_12x),0)</f>
        <v>14</v>
      </c>
    </row>
    <row r="89" spans="1:17" s="34" customFormat="1" hidden="1" outlineLevel="1" x14ac:dyDescent="0.25">
      <c r="A89" s="35"/>
      <c r="B89" s="10" t="str">
        <f>CONCATENATE("          ","6376", " - ","TRAINING")</f>
        <v xml:space="preserve">          6376 - TRAINING</v>
      </c>
      <c r="C89" s="11"/>
      <c r="D89" s="2"/>
      <c r="E89" s="2"/>
      <c r="F89" s="2"/>
      <c r="G89" s="2">
        <v>14</v>
      </c>
      <c r="H89" s="2"/>
      <c r="I89" s="2"/>
      <c r="J89" s="2"/>
      <c r="K89" s="2"/>
      <c r="L89" s="2"/>
      <c r="M89" s="2"/>
      <c r="N89" s="2"/>
      <c r="O89" s="2"/>
      <c r="P89" s="9"/>
      <c r="Q89" s="2">
        <f>SUM(OSRRefD21_12_0x)+IFERROR(SUM(OSRRefE21_12_0x),0)</f>
        <v>14</v>
      </c>
    </row>
    <row r="90" spans="1:17" s="30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3"/>
      <c r="B91" s="16" t="s">
        <v>291</v>
      </c>
      <c r="C91" s="22"/>
      <c r="D91" s="3">
        <f t="shared" ref="D91:M91" si="10">0</f>
        <v>0</v>
      </c>
      <c r="E91" s="3">
        <f t="shared" si="10"/>
        <v>0</v>
      </c>
      <c r="F91" s="3">
        <f t="shared" si="10"/>
        <v>0</v>
      </c>
      <c r="G91" s="3">
        <f t="shared" si="10"/>
        <v>0</v>
      </c>
      <c r="H91" s="3">
        <f t="shared" si="10"/>
        <v>0</v>
      </c>
      <c r="I91" s="3">
        <f t="shared" si="10"/>
        <v>0</v>
      </c>
      <c r="J91" s="3">
        <f t="shared" si="10"/>
        <v>0</v>
      </c>
      <c r="K91" s="3">
        <f t="shared" si="10"/>
        <v>0</v>
      </c>
      <c r="L91" s="3">
        <f t="shared" si="10"/>
        <v>0</v>
      </c>
      <c r="M91" s="3">
        <f t="shared" si="10"/>
        <v>0</v>
      </c>
      <c r="N91" s="3"/>
      <c r="O91" s="3"/>
      <c r="Q91" s="2">
        <f>SUM(OSRRefD23_0x)+IFERROR(SUM(OSRRefE23_0x),0)</f>
        <v>0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6"/>
      <c r="B93" s="17" t="s">
        <v>274</v>
      </c>
      <c r="C93" s="17"/>
      <c r="D93" s="8">
        <f t="shared" ref="D93:O93" si="11">IFERROR(+D36-D39+D91, 0)</f>
        <v>-1141.3999999999999</v>
      </c>
      <c r="E93" s="8">
        <f t="shared" si="11"/>
        <v>-2088.7799999999997</v>
      </c>
      <c r="F93" s="8">
        <f t="shared" si="11"/>
        <v>147.47999999999956</v>
      </c>
      <c r="G93" s="8">
        <f t="shared" si="11"/>
        <v>-1406.4899999999957</v>
      </c>
      <c r="H93" s="8">
        <f t="shared" si="11"/>
        <v>-553.19000000000005</v>
      </c>
      <c r="I93" s="8">
        <f t="shared" si="11"/>
        <v>214.81</v>
      </c>
      <c r="J93" s="8">
        <f t="shared" si="11"/>
        <v>-71.52</v>
      </c>
      <c r="K93" s="8">
        <f t="shared" si="11"/>
        <v>-65.760000000000005</v>
      </c>
      <c r="L93" s="8">
        <f t="shared" si="11"/>
        <v>-144.59</v>
      </c>
      <c r="M93" s="8">
        <f t="shared" si="11"/>
        <v>-72.489999999999995</v>
      </c>
      <c r="N93" s="8">
        <f t="shared" si="11"/>
        <v>0</v>
      </c>
      <c r="O93" s="8">
        <f t="shared" si="11"/>
        <v>0</v>
      </c>
      <c r="Q93" s="8">
        <f>IFERROR(+Q36-Q39+Q91, 0)</f>
        <v>-5181.9299999999948</v>
      </c>
    </row>
    <row r="94" spans="1:17" s="6" customFormat="1" x14ac:dyDescent="0.25">
      <c r="B94" s="16"/>
      <c r="C94" s="16"/>
      <c r="D94" s="4">
        <f t="shared" ref="D94:O94" si="12">IFERROR(D93/D10, 0)</f>
        <v>0</v>
      </c>
      <c r="E94" s="4">
        <f t="shared" si="12"/>
        <v>-0.1684779890852835</v>
      </c>
      <c r="F94" s="4">
        <f t="shared" si="12"/>
        <v>1.6578088326543776E-2</v>
      </c>
      <c r="G94" s="4">
        <f t="shared" si="12"/>
        <v>-78.574860335195297</v>
      </c>
      <c r="H94" s="4">
        <f t="shared" si="12"/>
        <v>0</v>
      </c>
      <c r="I94" s="4">
        <f t="shared" si="12"/>
        <v>0</v>
      </c>
      <c r="J94" s="4">
        <f t="shared" si="12"/>
        <v>0</v>
      </c>
      <c r="K94" s="4">
        <f t="shared" si="12"/>
        <v>0</v>
      </c>
      <c r="L94" s="4">
        <f t="shared" si="12"/>
        <v>0</v>
      </c>
      <c r="M94" s="4">
        <f t="shared" si="12"/>
        <v>0</v>
      </c>
      <c r="N94" s="4">
        <f t="shared" si="12"/>
        <v>0</v>
      </c>
      <c r="O94" s="4">
        <f t="shared" si="12"/>
        <v>0</v>
      </c>
      <c r="P94" s="18"/>
      <c r="Q94" s="4">
        <f>IFERROR(Q93/Q10, 0)</f>
        <v>-0.24314702757893214</v>
      </c>
    </row>
    <row r="95" spans="1:17" x14ac:dyDescent="0.2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25">
      <c r="A96" s="25"/>
      <c r="B96" s="6" t="s">
        <v>125</v>
      </c>
      <c r="C96" s="6"/>
      <c r="D96" s="3"/>
      <c r="E96" s="3">
        <v>2093.23</v>
      </c>
      <c r="F96" s="3">
        <v>1851.59</v>
      </c>
      <c r="G96" s="3">
        <v>671.8</v>
      </c>
      <c r="H96" s="3">
        <v>-1230.1600000000001</v>
      </c>
      <c r="I96" s="3">
        <v>556.70000000000005</v>
      </c>
      <c r="J96" s="3">
        <v>-74.48</v>
      </c>
      <c r="K96" s="3">
        <v>351.84</v>
      </c>
      <c r="L96" s="3">
        <v>171.69</v>
      </c>
      <c r="M96" s="3">
        <v>66.33</v>
      </c>
      <c r="N96" s="3"/>
      <c r="O96" s="3"/>
      <c r="Q96" s="2">
        <f>SUM(OSRRefD28_0x)+IFERROR(SUM(OSRRefE28_0x),0)</f>
        <v>4458.5399999999991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 t="shared" ref="D98:O98" si="13">IFERROR(+D93-D96, 0)</f>
        <v>-1141.3999999999999</v>
      </c>
      <c r="E98" s="7">
        <f t="shared" si="13"/>
        <v>-4182.01</v>
      </c>
      <c r="F98" s="7">
        <f t="shared" si="13"/>
        <v>-1704.1100000000004</v>
      </c>
      <c r="G98" s="7">
        <f t="shared" si="13"/>
        <v>-2078.2899999999954</v>
      </c>
      <c r="H98" s="7">
        <f t="shared" si="13"/>
        <v>676.97</v>
      </c>
      <c r="I98" s="7">
        <f t="shared" si="13"/>
        <v>-341.89000000000004</v>
      </c>
      <c r="J98" s="7">
        <f t="shared" si="13"/>
        <v>2.960000000000008</v>
      </c>
      <c r="K98" s="7">
        <f t="shared" si="13"/>
        <v>-417.59999999999997</v>
      </c>
      <c r="L98" s="7">
        <f t="shared" si="13"/>
        <v>-316.27999999999997</v>
      </c>
      <c r="M98" s="7">
        <f t="shared" si="13"/>
        <v>-138.82</v>
      </c>
      <c r="N98" s="7">
        <f t="shared" si="13"/>
        <v>0</v>
      </c>
      <c r="O98" s="7">
        <f t="shared" si="13"/>
        <v>0</v>
      </c>
      <c r="Q98" s="7">
        <f>IFERROR(+Q93-Q96, 0)</f>
        <v>-9640.4699999999939</v>
      </c>
    </row>
    <row r="99" spans="1:17" ht="15.75" thickTop="1" x14ac:dyDescent="0.25">
      <c r="A99" s="5"/>
      <c r="B99" s="5"/>
      <c r="C99" s="5"/>
      <c r="D99" s="4">
        <f t="shared" ref="D99:O99" si="14">IFERROR(D98/D10, 0)</f>
        <v>0</v>
      </c>
      <c r="E99" s="4">
        <f t="shared" si="14"/>
        <v>-0.33731490876710163</v>
      </c>
      <c r="F99" s="4">
        <f t="shared" si="14"/>
        <v>-0.19155740505930707</v>
      </c>
      <c r="G99" s="4">
        <f t="shared" si="14"/>
        <v>-116.10558659217853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-0.45235107864518986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15">IFERROR(SUM(D98:D101), 0)</f>
        <v>-1141.3999999999999</v>
      </c>
      <c r="E102" s="7">
        <f t="shared" si="15"/>
        <v>-4182.3473149087677</v>
      </c>
      <c r="F102" s="7">
        <f t="shared" si="15"/>
        <v>-1704.3015574050596</v>
      </c>
      <c r="G102" s="7">
        <f t="shared" si="15"/>
        <v>-2194.3955865921739</v>
      </c>
      <c r="H102" s="7">
        <f t="shared" si="15"/>
        <v>676.97</v>
      </c>
      <c r="I102" s="7">
        <f t="shared" si="15"/>
        <v>-341.89000000000004</v>
      </c>
      <c r="J102" s="7">
        <f t="shared" si="15"/>
        <v>2.960000000000008</v>
      </c>
      <c r="K102" s="7">
        <f t="shared" si="15"/>
        <v>-417.59999999999997</v>
      </c>
      <c r="L102" s="7">
        <f t="shared" si="15"/>
        <v>-316.27999999999997</v>
      </c>
      <c r="M102" s="7">
        <f t="shared" si="15"/>
        <v>-138.82</v>
      </c>
      <c r="N102" s="7">
        <f t="shared" si="15"/>
        <v>0</v>
      </c>
      <c r="O102" s="7">
        <f t="shared" si="15"/>
        <v>0</v>
      </c>
      <c r="Q102" s="7">
        <f>IFERROR(SUM(Q98:Q101), 0)</f>
        <v>-9640.9223510786396</v>
      </c>
    </row>
    <row r="103" spans="1:17" ht="15.75" thickTop="1" x14ac:dyDescent="0.25">
      <c r="A103" s="5"/>
      <c r="C103" s="5"/>
      <c r="D103" s="4">
        <f t="shared" ref="D103:O103" si="16">IFERROR(D102/D10, 0)</f>
        <v>0</v>
      </c>
      <c r="E103" s="4">
        <f t="shared" si="16"/>
        <v>-0.33734211610225306</v>
      </c>
      <c r="F103" s="4">
        <f t="shared" si="16"/>
        <v>-0.19157893784735069</v>
      </c>
      <c r="G103" s="4">
        <f t="shared" si="16"/>
        <v>-122.5919322118533</v>
      </c>
      <c r="H103" s="4">
        <f t="shared" si="16"/>
        <v>0</v>
      </c>
      <c r="I103" s="4">
        <f t="shared" si="16"/>
        <v>0</v>
      </c>
      <c r="J103" s="4">
        <f t="shared" si="16"/>
        <v>0</v>
      </c>
      <c r="K103" s="4">
        <f t="shared" si="16"/>
        <v>0</v>
      </c>
      <c r="L103" s="4">
        <f t="shared" si="16"/>
        <v>0</v>
      </c>
      <c r="M103" s="4">
        <f t="shared" si="16"/>
        <v>0</v>
      </c>
      <c r="N103" s="4">
        <f t="shared" si="16"/>
        <v>0</v>
      </c>
      <c r="O103" s="4">
        <f t="shared" si="16"/>
        <v>0</v>
      </c>
      <c r="P103" s="18"/>
      <c r="Q103" s="4">
        <f>IFERROR(Q102/Q10, 0)</f>
        <v>-0.45237230390685779</v>
      </c>
    </row>
    <row r="104" spans="1:17" x14ac:dyDescent="0.25">
      <c r="A104" s="5"/>
      <c r="B104" s="27">
        <v>44330.012689386574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A105" s="5"/>
      <c r="B105" s="31" t="s">
        <v>54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26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M2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3"/>
      <c r="B12" s="10" t="str">
        <f>CONCATENATE("          ","4026", " - ","TAXABLE SALES-WRITING INSTRUME")</f>
        <v xml:space="preserve">          4026 - TAXABLE SALES-WRITING INSTRUME</v>
      </c>
      <c r="C12" s="22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3"/>
      <c r="B13" s="10" t="str">
        <f>CONCATENATE("          ","4027", " - ","TAXABLE SALES-SCHOOL SUPPLIES")</f>
        <v xml:space="preserve">          4027 - TAXABLE SALES-SCHOOL SUPPLIES</v>
      </c>
      <c r="C13" s="22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3"/>
      <c r="B14" s="10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3"/>
      <c r="B15" s="10" t="str">
        <f>CONCATENATE("          ","4031", " - ","TAXABLE SALES-FOOD")</f>
        <v xml:space="preserve">          4031 - TAXABLE SALES-FOOD</v>
      </c>
      <c r="C15" s="22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3"/>
      <c r="B16" s="10" t="str">
        <f>CONCATENATE("          ","4081", " - ","TAXABLE SALES-ELECTRONICS")</f>
        <v xml:space="preserve">          4081 - TAXABLE SALES-ELECTRONICS</v>
      </c>
      <c r="C16" s="22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3"/>
      <c r="B17" s="10" t="str">
        <f>CONCATENATE("          ","4083", " - ","TAXABLE SALES-COMPUTER EQUIPME")</f>
        <v xml:space="preserve">          4083 - TAXABLE SALES-COMPUTER EQUIPME</v>
      </c>
      <c r="C17" s="22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3"/>
      <c r="B18" s="10" t="str">
        <f>CONCATENATE("          ","4100", " - ","NON-TAXABLE SALES")</f>
        <v xml:space="preserve">          4100 - NON-TAXABLE SALES</v>
      </c>
      <c r="C18" s="22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3"/>
      <c r="B19" s="10" t="str">
        <f>CONCATENATE("          ","4131", " - ","NON-TAXABLE SALES-FOOD")</f>
        <v xml:space="preserve">          4131 - NON-TAXABLE SALES-FOOD</v>
      </c>
      <c r="C19" s="22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3"/>
      <c r="B20" s="10" t="str">
        <f>CONCATENATE("          ","4227", " - ","SALES RETURN TAXABLE-SCHOOL SU")</f>
        <v xml:space="preserve">          4227 - SALES RETURN TAXABLE-SCHOOL SU</v>
      </c>
      <c r="C20" s="22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3"/>
      <c r="B21" s="10" t="str">
        <f>CONCATENATE("          ","4228", " - ","SALES RETURN TAXABLE-ART/TECH")</f>
        <v xml:space="preserve">          4228 - SALES RETURN TAXABLE-ART/TECH</v>
      </c>
      <c r="C21" s="22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>
        <f t="shared" si="1"/>
        <v>0</v>
      </c>
      <c r="N21" s="2"/>
      <c r="O21" s="2"/>
      <c r="Q21" s="2">
        <f>SUM(OSRRefD11_10x)+IFERROR(SUM(OSRRefE11_10x),0)</f>
        <v>-222.2</v>
      </c>
    </row>
    <row r="22" spans="1:17" x14ac:dyDescent="0.25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3"/>
      <c r="B23" s="16" t="s">
        <v>217</v>
      </c>
      <c r="C23" s="22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SUM(OSRRefD14x_7)</f>
        <v>12.76</v>
      </c>
      <c r="L23" s="3">
        <f>SUM(OSRRefD14x_8)</f>
        <v>30.48</v>
      </c>
      <c r="M23" s="3">
        <f>SUM(OSRRefD14x_9)</f>
        <v>19.489999999999998</v>
      </c>
      <c r="N23" s="3">
        <f>SUM(OSRRefE14x_0)</f>
        <v>0</v>
      </c>
      <c r="O23" s="3">
        <f>SUM(OSRRefE14x_1)</f>
        <v>0</v>
      </c>
      <c r="Q23" s="3">
        <f>SUM(OSRRefG14x)</f>
        <v>13792.989999999994</v>
      </c>
    </row>
    <row r="24" spans="1:17" s="9" customFormat="1" hidden="1" outlineLevel="1" x14ac:dyDescent="0.25">
      <c r="A24" s="23"/>
      <c r="B24" s="10" t="str">
        <f>CONCATENATE("          ","5000", " - ","PURCHASES @ COST")</f>
        <v xml:space="preserve">          5000 - PURCHASES @ COST</v>
      </c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3"/>
      <c r="B25" s="10" t="str">
        <f>CONCATENATE("          ","5026", " - ","PURCHASES @ COST-WRITING INSTR")</f>
        <v xml:space="preserve">          5026 - PURCHASES @ COST-WRITING INSTR</v>
      </c>
      <c r="C25" s="22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25">
      <c r="A26" s="23"/>
      <c r="B26" s="10" t="str">
        <f>CONCATENATE("          ","5027", " - ","PURCHASES @ COST-SCHOOL SUPPLI")</f>
        <v xml:space="preserve">          5027 - PURCHASES @ COST-SCHOOL SUPPLI</v>
      </c>
      <c r="C26" s="22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3"/>
      <c r="B27" s="10" t="str">
        <f>CONCATENATE("          ","5028", " - ","PURCHASES @ COST-ART/TECH")</f>
        <v xml:space="preserve">          5028 - PURCHASES @ COST-ART/TECH</v>
      </c>
      <c r="C27" s="22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25">
      <c r="A28" s="23"/>
      <c r="B28" s="10" t="str">
        <f>CONCATENATE("          ","5031", " - ","PURCHASES @ COST-FOOD")</f>
        <v xml:space="preserve">          5031 - PURCHASES @ COST-FOOD</v>
      </c>
      <c r="C28" s="22"/>
      <c r="D28" s="2"/>
      <c r="E28" s="2">
        <v>0</v>
      </c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25">
      <c r="A29" s="23"/>
      <c r="B29" s="10" t="str">
        <f>CONCATENATE("          ","5200", " - ","PURCHASES OFFSET")</f>
        <v xml:space="preserve">          5200 - PURCHASES OFFSET</v>
      </c>
      <c r="C29" s="22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3"/>
      <c r="B30" s="10" t="str">
        <f>CONCATENATE("          ","5300", " - ","COG$ OFFSET")</f>
        <v xml:space="preserve">          5300 - COG$ OFFSET</v>
      </c>
      <c r="C30" s="22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3"/>
      <c r="B31" s="10" t="str">
        <f>CONCATENATE("          ","5528", " - ","FREIGHT-IN-ART/TECH")</f>
        <v xml:space="preserve">          5528 - FREIGHT-IN-ART/TECH</v>
      </c>
      <c r="C31" s="22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>
        <v>12.76</v>
      </c>
      <c r="L31" s="2">
        <v>30.48</v>
      </c>
      <c r="M31" s="2">
        <v>19.489999999999998</v>
      </c>
      <c r="N31" s="2"/>
      <c r="O31" s="2"/>
      <c r="Q31" s="2">
        <f>SUM(OSRRefD14_7x)+IFERROR(SUM(OSRRefE14_7x),0)</f>
        <v>367.52000000000004</v>
      </c>
    </row>
    <row r="32" spans="1:17" x14ac:dyDescent="0.25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6"/>
      <c r="B33" s="17" t="s">
        <v>105</v>
      </c>
      <c r="C33" s="17"/>
      <c r="D33" s="8">
        <f t="shared" ref="D33:O33" si="6">IFERROR(+D10-D23, 0)</f>
        <v>-38.049999999999997</v>
      </c>
      <c r="E33" s="8">
        <f t="shared" si="6"/>
        <v>3392.9400000000005</v>
      </c>
      <c r="F33" s="8">
        <f t="shared" si="6"/>
        <v>3756.08</v>
      </c>
      <c r="G33" s="8">
        <f t="shared" si="6"/>
        <v>17.900000000004376</v>
      </c>
      <c r="H33" s="8">
        <f t="shared" si="6"/>
        <v>-17.61</v>
      </c>
      <c r="I33" s="8">
        <f t="shared" si="6"/>
        <v>488.92</v>
      </c>
      <c r="J33" s="8">
        <f t="shared" si="6"/>
        <v>-18.52</v>
      </c>
      <c r="K33" s="8">
        <f t="shared" si="6"/>
        <v>-12.76</v>
      </c>
      <c r="L33" s="8">
        <f t="shared" si="6"/>
        <v>-30.48</v>
      </c>
      <c r="M33" s="8">
        <f t="shared" si="6"/>
        <v>-19.489999999999998</v>
      </c>
      <c r="N33" s="8">
        <f t="shared" si="6"/>
        <v>0</v>
      </c>
      <c r="O33" s="8">
        <f t="shared" si="6"/>
        <v>0</v>
      </c>
      <c r="Q33" s="8">
        <f>IFERROR(+Q10-Q23, 0)</f>
        <v>7518.9300000000039</v>
      </c>
    </row>
    <row r="34" spans="1:17" s="6" customFormat="1" x14ac:dyDescent="0.2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0.35280397073562608</v>
      </c>
    </row>
    <row r="35" spans="1:17" x14ac:dyDescent="0.25">
      <c r="A35" s="5"/>
      <c r="B35" s="6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5" customFormat="1" x14ac:dyDescent="0.25">
      <c r="A36" s="6"/>
      <c r="B36" s="16" t="s">
        <v>254</v>
      </c>
      <c r="C36" s="6"/>
      <c r="D36" s="14">
        <f>SUM(OSRRefD20x_0)</f>
        <v>1103.3499999999999</v>
      </c>
      <c r="E36" s="14">
        <f>SUM(OSRRefD20x_1)</f>
        <v>5481.72</v>
      </c>
      <c r="F36" s="14">
        <f>SUM(OSRRefD20x_2)</f>
        <v>3608.6000000000004</v>
      </c>
      <c r="G36" s="14">
        <f>SUM(OSRRefD20x_3)</f>
        <v>1424.39</v>
      </c>
      <c r="H36" s="14">
        <f>SUM(OSRRefD20x_4)</f>
        <v>535.58000000000004</v>
      </c>
      <c r="I36" s="14">
        <f>SUM(OSRRefD20x_5)</f>
        <v>274.11</v>
      </c>
      <c r="J36" s="14">
        <f>SUM(OSRRefD20x_6)</f>
        <v>53</v>
      </c>
      <c r="K36" s="14">
        <f>SUM(OSRRefD20x_7)</f>
        <v>53</v>
      </c>
      <c r="L36" s="14">
        <f>SUM(OSRRefD20x_8)</f>
        <v>114.11</v>
      </c>
      <c r="M36" s="14">
        <f>SUM(OSRRefD20x_9)</f>
        <v>53</v>
      </c>
      <c r="N36" s="14">
        <f>SUM(OSRRefE20x_0)</f>
        <v>0</v>
      </c>
      <c r="O36" s="14">
        <f>SUM(OSRRefE20x_1)</f>
        <v>0</v>
      </c>
      <c r="Q36" s="14">
        <f>SUM(OSRRefG20x)</f>
        <v>12700.859999999999</v>
      </c>
    </row>
    <row r="37" spans="1:17" s="34" customFormat="1" collapsed="1" x14ac:dyDescent="0.25">
      <c r="A37" s="35"/>
      <c r="B37" s="11" t="str">
        <f>CONCATENATE("     ","*Benefits                                         ")</f>
        <v xml:space="preserve">     *Benefits                                         </v>
      </c>
      <c r="C37" s="11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SUM(OSRRefD21_0x_7)</f>
        <v>0</v>
      </c>
      <c r="L37" s="1">
        <f>SUM(OSRRefD21_0x_8)</f>
        <v>0</v>
      </c>
      <c r="M37" s="1">
        <f>SUM(OSRRefD21_0x_9)</f>
        <v>0</v>
      </c>
      <c r="N37" s="1">
        <f>SUM(OSRRefE21_0x_0)</f>
        <v>0</v>
      </c>
      <c r="O37" s="1">
        <f>SUM(OSRRefE21_0x_1)</f>
        <v>0</v>
      </c>
      <c r="Q37" s="2">
        <f>SUM(OSRRefD20_0x)+IFERROR(SUM(OSRRefE20_0x),0)</f>
        <v>778.2</v>
      </c>
    </row>
    <row r="38" spans="1:17" s="34" customFormat="1" hidden="1" outlineLevel="1" x14ac:dyDescent="0.25">
      <c r="A38" s="35"/>
      <c r="B38" s="10" t="str">
        <f>CONCATENATE("          ","6111", " - ","F.I.C.A.")</f>
        <v xml:space="preserve">          6111 - F.I.C.A.</v>
      </c>
      <c r="C38" s="11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4" customFormat="1" hidden="1" outlineLevel="1" x14ac:dyDescent="0.25">
      <c r="A39" s="35"/>
      <c r="B39" s="10" t="str">
        <f>CONCATENATE("          ","6112", " - ","COMPENSATION INSURANCE")</f>
        <v xml:space="preserve">          6112 - COMPENSATION INSURANCE</v>
      </c>
      <c r="C39" s="11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4" customFormat="1" hidden="1" outlineLevel="1" x14ac:dyDescent="0.25">
      <c r="A40" s="35"/>
      <c r="B40" s="10" t="str">
        <f>CONCATENATE("          ","6113", " - ","GROUP INSURANCE")</f>
        <v xml:space="preserve">          6113 - GROUP INSURANCE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4" customFormat="1" hidden="1" outlineLevel="1" x14ac:dyDescent="0.25">
      <c r="A41" s="35"/>
      <c r="B41" s="10" t="str">
        <f>CONCATENATE("          ","6114", " - ","STATE UNEMPLOYMENT INSURANCE")</f>
        <v xml:space="preserve">          6114 - STATE UNEMPLOYMENT INSURANCE</v>
      </c>
      <c r="C41" s="11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4" customFormat="1" hidden="1" outlineLevel="1" x14ac:dyDescent="0.25">
      <c r="A42" s="35"/>
      <c r="B42" s="10" t="str">
        <f>CONCATENATE("          ","6115", " - ","P.E.R.S.")</f>
        <v xml:space="preserve">          6115 - P.E.R.S.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4" customFormat="1" hidden="1" outlineLevel="1" x14ac:dyDescent="0.25">
      <c r="A43" s="35"/>
      <c r="B43" s="10" t="str">
        <f>CONCATENATE("          ","6116", " - ","EDUCATIONAL BENEFITS")</f>
        <v xml:space="preserve">          6116 - EDUCATIONAL BENEFITS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4" customFormat="1" hidden="1" outlineLevel="1" x14ac:dyDescent="0.25">
      <c r="A44" s="35"/>
      <c r="B44" s="10" t="str">
        <f>CONCATENATE("          ","6118", " - ","VACATION")</f>
        <v xml:space="preserve">          6118 - VACATION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4" customFormat="1" hidden="1" outlineLevel="1" x14ac:dyDescent="0.25">
      <c r="A45" s="35"/>
      <c r="B45" s="10" t="str">
        <f>CONCATENATE("          ","6119", " - ","SICK LEAVE")</f>
        <v xml:space="preserve">          6119 - SICK LEAVE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4" customFormat="1" collapsed="1" x14ac:dyDescent="0.25">
      <c r="A46" s="35"/>
      <c r="B46" s="11" t="str">
        <f>CONCATENATE("     ","*Payroll                                          ")</f>
        <v xml:space="preserve">     *Payroll                                          </v>
      </c>
      <c r="C46" s="11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SUM(OSRRefD21_1x_7)</f>
        <v>0</v>
      </c>
      <c r="L46" s="1">
        <f>SUM(OSRRefD21_1x_8)</f>
        <v>0</v>
      </c>
      <c r="M46" s="1">
        <f>SUM(OSRRefD21_1x_9)</f>
        <v>0</v>
      </c>
      <c r="N46" s="1">
        <f>SUM(OSRRefE21_1x_0)</f>
        <v>0</v>
      </c>
      <c r="O46" s="1">
        <f>SUM(OSRRefE21_1x_1)</f>
        <v>0</v>
      </c>
      <c r="Q46" s="2">
        <f>SUM(OSRRefD20_1x)+IFERROR(SUM(OSRRefE20_1x),0)</f>
        <v>8152.5399999999991</v>
      </c>
    </row>
    <row r="47" spans="1:17" s="34" customFormat="1" hidden="1" outlineLevel="1" x14ac:dyDescent="0.25">
      <c r="A47" s="35"/>
      <c r="B47" s="10" t="str">
        <f>CONCATENATE("          ","6001", " - ","ADMINISTRATIVE SALARIES")</f>
        <v xml:space="preserve">          6001 - ADMINISTRATIVE SALARIES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4" customFormat="1" hidden="1" outlineLevel="1" x14ac:dyDescent="0.25">
      <c r="A48" s="35"/>
      <c r="B48" s="10" t="str">
        <f>CONCATENATE("          ","6002", " - ","STAFF SALARIES")</f>
        <v xml:space="preserve">          6002 - STAFF SALARIES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4" customFormat="1" hidden="1" outlineLevel="1" x14ac:dyDescent="0.25">
      <c r="A49" s="35"/>
      <c r="B49" s="10" t="str">
        <f>CONCATENATE("          ","6003", " - ","STAFF HOURLY-9 MONTH")</f>
        <v xml:space="preserve">          6003 - STAFF HOURLY-9 MONTH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4" customFormat="1" hidden="1" outlineLevel="1" x14ac:dyDescent="0.25">
      <c r="A50" s="35"/>
      <c r="B50" s="10" t="str">
        <f>CONCATENATE("          ","6004", " - ","STAFF HOURLY")</f>
        <v xml:space="preserve">          6004 - STAFF HOURLY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4" customFormat="1" hidden="1" outlineLevel="1" x14ac:dyDescent="0.25">
      <c r="A51" s="35"/>
      <c r="B51" s="10" t="str">
        <f>CONCATENATE("          ","6005", " - ","TEMPORARY WAGES-HOURLY")</f>
        <v xml:space="preserve">          6005 - TEMPORARY WAGES-HOURLY</v>
      </c>
      <c r="C51" s="11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4" customFormat="1" hidden="1" outlineLevel="1" x14ac:dyDescent="0.25">
      <c r="A52" s="35"/>
      <c r="B52" s="10" t="str">
        <f>CONCATENATE("          ","6006", " - ","TEMPORARY PART TIME")</f>
        <v xml:space="preserve">          6006 - TEMPORARY PART TIME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4" customFormat="1" hidden="1" outlineLevel="1" x14ac:dyDescent="0.25">
      <c r="A53" s="35"/>
      <c r="B53" s="10" t="str">
        <f>CONCATENATE("          ","6007", " - ","STUDENT HOURLY")</f>
        <v xml:space="preserve">          6007 - STUDENT HOURLY</v>
      </c>
      <c r="C53" s="11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/>
      <c r="M53" s="2"/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4" customFormat="1" hidden="1" outlineLevel="1" x14ac:dyDescent="0.25">
      <c r="A54" s="35"/>
      <c r="B54" s="10" t="str">
        <f>CONCATENATE("          ","6008", " - ","STUDENT HOURLY-FICA EXEMPT")</f>
        <v xml:space="preserve">          6008 - STUDENT HOURLY-FICA EXEMPT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4" customFormat="1" hidden="1" outlineLevel="1" x14ac:dyDescent="0.25">
      <c r="A55" s="35"/>
      <c r="B55" s="10" t="str">
        <f>CONCATENATE("          ","6009", " - ","TEMPORARY-SEASONAL")</f>
        <v xml:space="preserve">          6009 - TEMPORARY-SEASONAL</v>
      </c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4" customFormat="1" hidden="1" outlineLevel="1" x14ac:dyDescent="0.25">
      <c r="A56" s="35"/>
      <c r="B56" s="10" t="str">
        <f>CONCATENATE("          ","6010", " - ","GRATUITY")</f>
        <v xml:space="preserve">          6010 - GRATUITY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4" customFormat="1" collapsed="1" x14ac:dyDescent="0.25">
      <c r="A57" s="35"/>
      <c r="B57" s="11" t="str">
        <f>CONCATENATE("     ","Advertising/Promo                                 ")</f>
        <v xml:space="preserve">     Advertising/Promo                                 </v>
      </c>
      <c r="C57" s="11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SUM(OSRRefD21_2x_7)</f>
        <v>0</v>
      </c>
      <c r="L57" s="1">
        <f>SUM(OSRRefD21_2x_8)</f>
        <v>0</v>
      </c>
      <c r="M57" s="1">
        <f>SUM(OSRRefD21_2x_9)</f>
        <v>0</v>
      </c>
      <c r="N57" s="1">
        <f>SUM(OSRRefE21_2x_0)</f>
        <v>0</v>
      </c>
      <c r="O57" s="1">
        <f>SUM(OSRRefE21_2x_1)</f>
        <v>0</v>
      </c>
      <c r="Q57" s="2">
        <f>SUM(OSRRefD20_2x)+IFERROR(SUM(OSRRefE20_2x),0)</f>
        <v>124.72</v>
      </c>
    </row>
    <row r="58" spans="1:17" s="34" customFormat="1" hidden="1" outlineLevel="1" x14ac:dyDescent="0.25">
      <c r="A58" s="35"/>
      <c r="B58" s="10" t="str">
        <f>CONCATENATE("          ","6362", " - ","ADVERTISING EXPENSE")</f>
        <v xml:space="preserve">          6362 - ADVERTISING EXPENSE</v>
      </c>
      <c r="C58" s="11"/>
      <c r="D58" s="2"/>
      <c r="E58" s="2"/>
      <c r="F58" s="2"/>
      <c r="G58" s="2">
        <v>124.72</v>
      </c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4" customFormat="1" collapsed="1" x14ac:dyDescent="0.25">
      <c r="A59" s="35"/>
      <c r="B59" s="11" t="str">
        <f>CONCATENATE("     ","Bad Debts/Over/Short                              ")</f>
        <v xml:space="preserve">     Bad Debts/Over/Short                              </v>
      </c>
      <c r="C59" s="11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SUM(OSRRefD21_3x_7)</f>
        <v>0</v>
      </c>
      <c r="L59" s="1">
        <f>SUM(OSRRefD21_3x_8)</f>
        <v>0</v>
      </c>
      <c r="M59" s="1">
        <f>SUM(OSRRefD21_3x_9)</f>
        <v>0</v>
      </c>
      <c r="N59" s="1">
        <f>SUM(OSRRefE21_3x_0)</f>
        <v>0</v>
      </c>
      <c r="O59" s="1">
        <f>SUM(OSRRefE21_3x_1)</f>
        <v>0</v>
      </c>
      <c r="Q59" s="2">
        <f>SUM(OSRRefD20_3x)+IFERROR(SUM(OSRRefE20_3x),0)</f>
        <v>1.1000000000000001</v>
      </c>
    </row>
    <row r="60" spans="1:17" s="34" customFormat="1" hidden="1" outlineLevel="1" x14ac:dyDescent="0.25">
      <c r="A60" s="35"/>
      <c r="B60" s="10" t="str">
        <f>CONCATENATE("          ","6272", " - ","CASH (OVER/SHORT)")</f>
        <v xml:space="preserve">          6272 - CASH (OVER/SHORT)</v>
      </c>
      <c r="C60" s="11"/>
      <c r="D60" s="2"/>
      <c r="E60" s="2">
        <v>0.3</v>
      </c>
      <c r="F60" s="2">
        <v>0.8</v>
      </c>
      <c r="G60" s="2">
        <v>0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4" customFormat="1" collapsed="1" x14ac:dyDescent="0.25">
      <c r="A61" s="35"/>
      <c r="B61" s="11" t="str">
        <f>CONCATENATE("     ","Bank/card Fees                                    ")</f>
        <v xml:space="preserve">     Bank/card Fees                                    </v>
      </c>
      <c r="C61" s="11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SUM(OSRRefD21_4x_7)</f>
        <v>0</v>
      </c>
      <c r="L61" s="1">
        <f>SUM(OSRRefD21_4x_8)</f>
        <v>0</v>
      </c>
      <c r="M61" s="1">
        <f>SUM(OSRRefD21_4x_9)</f>
        <v>0</v>
      </c>
      <c r="N61" s="1">
        <f>SUM(OSRRefE21_4x_0)</f>
        <v>0</v>
      </c>
      <c r="O61" s="1">
        <f>SUM(OSRRefE21_4x_1)</f>
        <v>0</v>
      </c>
      <c r="Q61" s="2">
        <f>SUM(OSRRefD20_4x)+IFERROR(SUM(OSRRefE20_4x),0)</f>
        <v>0</v>
      </c>
    </row>
    <row r="62" spans="1:17" s="34" customFormat="1" hidden="1" outlineLevel="1" x14ac:dyDescent="0.25">
      <c r="A62" s="35"/>
      <c r="B62" s="10" t="str">
        <f>CONCATENATE("          ","6381", " - ","BANK/CREDIT CARD FEES")</f>
        <v xml:space="preserve">          6381 - BANK/CREDIT CARD FEES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4" customFormat="1" collapsed="1" x14ac:dyDescent="0.25">
      <c r="A63" s="35"/>
      <c r="B63" s="11" t="str">
        <f>CONCATENATE("     ","Discounts and Markdowns                           ")</f>
        <v xml:space="preserve">     Discounts and Markdowns                           </v>
      </c>
      <c r="C63" s="11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SUM(OSRRefD21_5x_7)</f>
        <v>0</v>
      </c>
      <c r="L63" s="1">
        <f>SUM(OSRRefD21_5x_8)</f>
        <v>0</v>
      </c>
      <c r="M63" s="1">
        <f>SUM(OSRRefD21_5x_9)</f>
        <v>0</v>
      </c>
      <c r="N63" s="1">
        <f>SUM(OSRRefE21_5x_0)</f>
        <v>0</v>
      </c>
      <c r="O63" s="1">
        <f>SUM(OSRRefE21_5x_1)</f>
        <v>0</v>
      </c>
      <c r="Q63" s="2">
        <f>SUM(OSRRefD20_5x)+IFERROR(SUM(OSRRefE20_5x),0)</f>
        <v>0</v>
      </c>
    </row>
    <row r="64" spans="1:17" s="34" customFormat="1" hidden="1" outlineLevel="1" x14ac:dyDescent="0.25">
      <c r="A64" s="35"/>
      <c r="B64" s="10" t="str">
        <f>CONCATENATE("          ","6382", " - ","DISCOUNTS/MARK DOWNS")</f>
        <v xml:space="preserve">          6382 - DISCOUNTS/MARK DOWNS</v>
      </c>
      <c r="C64" s="11"/>
      <c r="D64" s="2"/>
      <c r="E64" s="2">
        <v>0</v>
      </c>
      <c r="F64" s="2">
        <v>0</v>
      </c>
      <c r="G64" s="2">
        <v>0</v>
      </c>
      <c r="H64" s="2"/>
      <c r="I64" s="2"/>
      <c r="J64" s="2"/>
      <c r="K64" s="2"/>
      <c r="L64" s="2"/>
      <c r="M64" s="2"/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4" customFormat="1" hidden="1" outlineLevel="1" x14ac:dyDescent="0.25">
      <c r="A65" s="35"/>
      <c r="B65" s="10" t="str">
        <f>CONCATENATE("          ","9175", " - ","EARNED DISCOUNTS")</f>
        <v xml:space="preserve">          9175 - EARNED DISCOUNTS</v>
      </c>
      <c r="C65" s="11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4" customFormat="1" collapsed="1" x14ac:dyDescent="0.25">
      <c r="A66" s="35"/>
      <c r="B66" s="11" t="str">
        <f>CONCATENATE("     ","Freight out/Postage                               ")</f>
        <v xml:space="preserve">     Freight out/Postage                               </v>
      </c>
      <c r="C66" s="11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SUM(OSRRefD21_6x_7)</f>
        <v>0</v>
      </c>
      <c r="L66" s="1">
        <f>SUM(OSRRefD21_6x_8)</f>
        <v>0</v>
      </c>
      <c r="M66" s="1">
        <f>SUM(OSRRefD21_6x_9)</f>
        <v>0</v>
      </c>
      <c r="N66" s="1">
        <f>SUM(OSRRefE21_6x_0)</f>
        <v>0</v>
      </c>
      <c r="O66" s="1">
        <f>SUM(OSRRefE21_6x_1)</f>
        <v>0</v>
      </c>
      <c r="Q66" s="2">
        <f>SUM(OSRRefD20_6x)+IFERROR(SUM(OSRRefE20_6x),0)</f>
        <v>0</v>
      </c>
    </row>
    <row r="67" spans="1:17" s="34" customFormat="1" hidden="1" outlineLevel="1" x14ac:dyDescent="0.25">
      <c r="A67" s="35"/>
      <c r="B67" s="10" t="str">
        <f>CONCATENATE("          ","6305", " - ","FREIGHT OUT")</f>
        <v xml:space="preserve">          6305 - FREIGHT OUT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4" customFormat="1" hidden="1" outlineLevel="1" x14ac:dyDescent="0.25">
      <c r="A68" s="35"/>
      <c r="B68" s="10" t="str">
        <f>CONCATENATE("          ","6307", " - ","POSTAGE")</f>
        <v xml:space="preserve">          6307 - POSTAGE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4" customFormat="1" collapsed="1" x14ac:dyDescent="0.25">
      <c r="A69" s="35"/>
      <c r="B69" s="11" t="str">
        <f>CONCATENATE("     ","General                                           ")</f>
        <v xml:space="preserve">     General                                           </v>
      </c>
      <c r="C69" s="11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SUM(OSRRefD21_7x_7)</f>
        <v>0</v>
      </c>
      <c r="L69" s="1">
        <f>SUM(OSRRefD21_7x_8)</f>
        <v>0</v>
      </c>
      <c r="M69" s="1">
        <f>SUM(OSRRefD21_7x_9)</f>
        <v>0</v>
      </c>
      <c r="N69" s="1">
        <f>SUM(OSRRefE21_7x_0)</f>
        <v>0</v>
      </c>
      <c r="O69" s="1">
        <f>SUM(OSRRefE21_7x_1)</f>
        <v>0</v>
      </c>
      <c r="Q69" s="2">
        <f>SUM(OSRRefD20_7x)+IFERROR(SUM(OSRRefE20_7x),0)</f>
        <v>879.55</v>
      </c>
    </row>
    <row r="70" spans="1:17" s="34" customFormat="1" hidden="1" outlineLevel="1" x14ac:dyDescent="0.25">
      <c r="A70" s="35"/>
      <c r="B70" s="10" t="str">
        <f>CONCATENATE("          ","6279", " - ","GENERAL EXPENSE")</f>
        <v xml:space="preserve">          6279 - GENERAL EXPENSE</v>
      </c>
      <c r="C70" s="11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4" customFormat="1" collapsed="1" x14ac:dyDescent="0.25">
      <c r="A71" s="35"/>
      <c r="B71" s="11" t="str">
        <f>CONCATENATE("     ","Repair and Maintenance                            ")</f>
        <v xml:space="preserve">     Repair and Maintenance                            </v>
      </c>
      <c r="C71" s="11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SUM(OSRRefD21_8x_7)</f>
        <v>0</v>
      </c>
      <c r="L71" s="1">
        <f>SUM(OSRRefD21_8x_8)</f>
        <v>61.11</v>
      </c>
      <c r="M71" s="1">
        <f>SUM(OSRRefD21_8x_9)</f>
        <v>0</v>
      </c>
      <c r="N71" s="1">
        <f>SUM(OSRRefE21_8x_0)</f>
        <v>0</v>
      </c>
      <c r="O71" s="1">
        <f>SUM(OSRRefE21_8x_1)</f>
        <v>0</v>
      </c>
      <c r="Q71" s="2">
        <f>SUM(OSRRefD20_8x)+IFERROR(SUM(OSRRefE20_8x),0)</f>
        <v>261.93</v>
      </c>
    </row>
    <row r="72" spans="1:17" s="34" customFormat="1" hidden="1" outlineLevel="1" x14ac:dyDescent="0.25">
      <c r="A72" s="35"/>
      <c r="B72" s="10" t="str">
        <f>CONCATENATE("          ","6373", " - ","MAINTENANCE CONTRACTS")</f>
        <v xml:space="preserve">          6373 - MAINTENANCE CONTRACTS</v>
      </c>
      <c r="C72" s="11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>
        <v>61.11</v>
      </c>
      <c r="M72" s="2"/>
      <c r="N72" s="2"/>
      <c r="O72" s="2"/>
      <c r="P72" s="9"/>
      <c r="Q72" s="2">
        <f>SUM(OSRRefD21_8_0x)+IFERROR(SUM(OSRRefE21_8_0x),0)</f>
        <v>261.93</v>
      </c>
    </row>
    <row r="73" spans="1:17" s="34" customFormat="1" hidden="1" outlineLevel="1" x14ac:dyDescent="0.25">
      <c r="A73" s="35"/>
      <c r="B73" s="10" t="str">
        <f>CONCATENATE("          ","6375", " - ","OUTSIDE REPAIRS &amp; MAINTENANCE")</f>
        <v xml:space="preserve">          6375 - OUTSIDE REPAIRS &amp; MAINTENANCE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4" customFormat="1" collapsed="1" x14ac:dyDescent="0.25">
      <c r="A74" s="35"/>
      <c r="B74" s="11" t="str">
        <f>CONCATENATE("     ","Services                                          ")</f>
        <v xml:space="preserve">     Services                                          </v>
      </c>
      <c r="C74" s="11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SUM(OSRRefD21_9x_7)</f>
        <v>0</v>
      </c>
      <c r="L74" s="1">
        <f>SUM(OSRRefD21_9x_8)</f>
        <v>0</v>
      </c>
      <c r="M74" s="1">
        <f>SUM(OSRRefD21_9x_9)</f>
        <v>0</v>
      </c>
      <c r="N74" s="1">
        <f>SUM(OSRRefE21_9x_0)</f>
        <v>0</v>
      </c>
      <c r="O74" s="1">
        <f>SUM(OSRRefE21_9x_1)</f>
        <v>0</v>
      </c>
      <c r="Q74" s="2">
        <f>SUM(OSRRefD20_9x)+IFERROR(SUM(OSRRefE20_9x),0)</f>
        <v>18.5</v>
      </c>
    </row>
    <row r="75" spans="1:17" s="34" customFormat="1" hidden="1" outlineLevel="1" x14ac:dyDescent="0.25">
      <c r="A75" s="35"/>
      <c r="B75" s="10" t="str">
        <f>CONCATENATE("          ","6282", " - ","JANITORIAL/EXTERMINATOR EXPENS")</f>
        <v xml:space="preserve">          6282 - JANITORIAL/EXTERMINATOR EXPENS</v>
      </c>
      <c r="C75" s="11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4" customFormat="1" hidden="1" outlineLevel="1" x14ac:dyDescent="0.25">
      <c r="A76" s="35"/>
      <c r="B76" s="10" t="str">
        <f>CONCATENATE("          ","6285", " - ","JANITORIAL SERVICES")</f>
        <v xml:space="preserve">          6285 - JANITORIAL SERVICES</v>
      </c>
      <c r="C76" s="11"/>
      <c r="D76" s="2">
        <v>-157.5</v>
      </c>
      <c r="E76" s="2"/>
      <c r="F76" s="2"/>
      <c r="G76" s="2"/>
      <c r="H76" s="2"/>
      <c r="I76" s="2"/>
      <c r="J76" s="2"/>
      <c r="K76" s="2"/>
      <c r="L76" s="2"/>
      <c r="M76" s="2"/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4" customFormat="1" collapsed="1" x14ac:dyDescent="0.25">
      <c r="A77" s="35"/>
      <c r="B77" s="11" t="str">
        <f>CONCATENATE("     ","Supplies                                          ")</f>
        <v xml:space="preserve">     Supplies                                          </v>
      </c>
      <c r="C77" s="11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SUM(OSRRefD21_10x_7)</f>
        <v>0</v>
      </c>
      <c r="L77" s="1">
        <f>SUM(OSRRefD21_10x_8)</f>
        <v>0</v>
      </c>
      <c r="M77" s="1">
        <f>SUM(OSRRefD21_10x_9)</f>
        <v>0</v>
      </c>
      <c r="N77" s="1">
        <f>SUM(OSRRefE21_10x_0)</f>
        <v>0</v>
      </c>
      <c r="O77" s="1">
        <f>SUM(OSRRefE21_10x_1)</f>
        <v>0</v>
      </c>
      <c r="Q77" s="2">
        <f>SUM(OSRRefD20_10x)+IFERROR(SUM(OSRRefE20_10x),0)</f>
        <v>1892.27</v>
      </c>
    </row>
    <row r="78" spans="1:17" s="34" customFormat="1" hidden="1" outlineLevel="1" x14ac:dyDescent="0.25">
      <c r="A78" s="35"/>
      <c r="B78" s="10" t="str">
        <f>CONCATENATE("          ","6235", " - ","COVID-19 EXPENSES")</f>
        <v xml:space="preserve">          6235 - COVID-19 EXPENSES</v>
      </c>
      <c r="C78" s="11"/>
      <c r="D78" s="2">
        <v>444.3</v>
      </c>
      <c r="E78" s="2"/>
      <c r="F78" s="2"/>
      <c r="G78" s="2"/>
      <c r="H78" s="2"/>
      <c r="I78" s="2"/>
      <c r="J78" s="2"/>
      <c r="K78" s="2"/>
      <c r="L78" s="2"/>
      <c r="M78" s="2"/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4" customFormat="1" hidden="1" outlineLevel="1" x14ac:dyDescent="0.25">
      <c r="A79" s="35"/>
      <c r="B79" s="10" t="str">
        <f>CONCATENATE("          ","6241", " - ","OFFICE EXPENSE")</f>
        <v xml:space="preserve">          6241 - OFFICE EXPENSE</v>
      </c>
      <c r="C79" s="11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4" customFormat="1" hidden="1" outlineLevel="1" x14ac:dyDescent="0.25">
      <c r="A80" s="35"/>
      <c r="B80" s="10" t="str">
        <f>CONCATENATE("          ","6247", " - ","STORE SUPPLIES")</f>
        <v xml:space="preserve">          6247 - STORE SUPPLIES</v>
      </c>
      <c r="C80" s="11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/>
      <c r="L80" s="2"/>
      <c r="M80" s="2"/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4" customFormat="1" collapsed="1" x14ac:dyDescent="0.25">
      <c r="A81" s="35"/>
      <c r="B81" s="11" t="str">
        <f>CONCATENATE("     ","Telephone/Data Lines                              ")</f>
        <v xml:space="preserve">     Telephone/Data Lines                              </v>
      </c>
      <c r="C81" s="11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SUM(OSRRefD21_11x_7)</f>
        <v>53</v>
      </c>
      <c r="L81" s="1">
        <f>SUM(OSRRefD21_11x_8)</f>
        <v>53</v>
      </c>
      <c r="M81" s="1">
        <f>SUM(OSRRefD21_11x_9)</f>
        <v>53</v>
      </c>
      <c r="N81" s="1">
        <f>SUM(OSRRefE21_11x_0)</f>
        <v>0</v>
      </c>
      <c r="O81" s="1">
        <f>SUM(OSRRefE21_11x_1)</f>
        <v>0</v>
      </c>
      <c r="Q81" s="2">
        <f>SUM(OSRRefD20_11x)+IFERROR(SUM(OSRRefE20_11x),0)</f>
        <v>578.04999999999995</v>
      </c>
    </row>
    <row r="82" spans="1:17" s="34" customFormat="1" hidden="1" outlineLevel="1" x14ac:dyDescent="0.25">
      <c r="A82" s="35"/>
      <c r="B82" s="10" t="str">
        <f>CONCATENATE("          ","6303", " - ","DATA PHONE LINES")</f>
        <v xml:space="preserve">          6303 - DATA PHONE LINES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4" customFormat="1" hidden="1" outlineLevel="1" x14ac:dyDescent="0.25">
      <c r="A83" s="35"/>
      <c r="B83" s="10" t="str">
        <f>CONCATENATE("          ","6309", " - ","TELEPHONE")</f>
        <v xml:space="preserve">          6309 - TELEPHONE</v>
      </c>
      <c r="C83" s="11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53</v>
      </c>
      <c r="L83" s="2">
        <v>53</v>
      </c>
      <c r="M83" s="2">
        <v>53</v>
      </c>
      <c r="N83" s="2">
        <v>0</v>
      </c>
      <c r="O83" s="2">
        <v>0</v>
      </c>
      <c r="P83" s="9"/>
      <c r="Q83" s="2">
        <f>SUM(OSRRefD21_11_1x)+IFERROR(SUM(OSRRefE21_11_1x),0)</f>
        <v>578.04999999999995</v>
      </c>
    </row>
    <row r="84" spans="1:17" s="34" customFormat="1" collapsed="1" x14ac:dyDescent="0.25">
      <c r="A84" s="35"/>
      <c r="B84" s="11" t="str">
        <f>CONCATENATE("     ","Training                                          ")</f>
        <v xml:space="preserve">     Training                                          </v>
      </c>
      <c r="C84" s="11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SUM(OSRRefD21_12x_7)</f>
        <v>0</v>
      </c>
      <c r="L84" s="1">
        <f>SUM(OSRRefD21_12x_8)</f>
        <v>0</v>
      </c>
      <c r="M84" s="1">
        <f>SUM(OSRRefD21_12x_9)</f>
        <v>0</v>
      </c>
      <c r="N84" s="1">
        <f>SUM(OSRRefE21_12x_0)</f>
        <v>0</v>
      </c>
      <c r="O84" s="1">
        <f>SUM(OSRRefE21_12x_1)</f>
        <v>0</v>
      </c>
      <c r="Q84" s="2">
        <f>SUM(OSRRefD20_12x)+IFERROR(SUM(OSRRefE20_12x),0)</f>
        <v>14</v>
      </c>
    </row>
    <row r="85" spans="1:17" s="34" customFormat="1" hidden="1" outlineLevel="1" x14ac:dyDescent="0.25">
      <c r="A85" s="35"/>
      <c r="B85" s="10" t="str">
        <f>CONCATENATE("          ","6376", " - ","TRAINING")</f>
        <v xml:space="preserve">          6376 - TRAINING</v>
      </c>
      <c r="C85" s="11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30" customFormat="1" x14ac:dyDescent="0.25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25">
      <c r="A87" s="23"/>
      <c r="B87" s="16" t="s">
        <v>291</v>
      </c>
      <c r="C87" s="22"/>
      <c r="D87" s="3">
        <f t="shared" ref="D87:M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>
        <f t="shared" si="8"/>
        <v>0</v>
      </c>
      <c r="L87" s="3">
        <f t="shared" si="8"/>
        <v>0</v>
      </c>
      <c r="M87" s="3">
        <f t="shared" si="8"/>
        <v>0</v>
      </c>
      <c r="N87" s="3"/>
      <c r="O87" s="3"/>
      <c r="Q87" s="2">
        <f>SUM(OSRRefD23_0x)+IFERROR(SUM(OSRRefE23_0x),0)</f>
        <v>0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25">
      <c r="A89" s="6"/>
      <c r="B89" s="17" t="s">
        <v>274</v>
      </c>
      <c r="C89" s="17"/>
      <c r="D89" s="8">
        <f t="shared" ref="D89:O89" si="9">IFERROR(+D33-D36+D87, 0)</f>
        <v>-1141.3999999999999</v>
      </c>
      <c r="E89" s="8">
        <f t="shared" si="9"/>
        <v>-2088.7799999999997</v>
      </c>
      <c r="F89" s="8">
        <f t="shared" si="9"/>
        <v>147.47999999999956</v>
      </c>
      <c r="G89" s="8">
        <f t="shared" si="9"/>
        <v>-1406.4899999999957</v>
      </c>
      <c r="H89" s="8">
        <f t="shared" si="9"/>
        <v>-553.19000000000005</v>
      </c>
      <c r="I89" s="8">
        <f t="shared" si="9"/>
        <v>214.81</v>
      </c>
      <c r="J89" s="8">
        <f t="shared" si="9"/>
        <v>-71.52</v>
      </c>
      <c r="K89" s="8">
        <f t="shared" si="9"/>
        <v>-65.760000000000005</v>
      </c>
      <c r="L89" s="8">
        <f t="shared" si="9"/>
        <v>-144.59</v>
      </c>
      <c r="M89" s="8">
        <f t="shared" si="9"/>
        <v>-72.489999999999995</v>
      </c>
      <c r="N89" s="8">
        <f t="shared" si="9"/>
        <v>0</v>
      </c>
      <c r="O89" s="8">
        <f t="shared" si="9"/>
        <v>0</v>
      </c>
      <c r="Q89" s="8">
        <f>IFERROR(+Q33-Q36+Q87, 0)</f>
        <v>-5181.9299999999948</v>
      </c>
    </row>
    <row r="90" spans="1:17" s="6" customFormat="1" x14ac:dyDescent="0.2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-0.24314702757893214</v>
      </c>
    </row>
    <row r="91" spans="1:17" x14ac:dyDescent="0.25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25">
      <c r="A92" s="25"/>
      <c r="B92" s="6" t="s">
        <v>125</v>
      </c>
      <c r="C92" s="6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>
        <v>351.84</v>
      </c>
      <c r="L92" s="3">
        <v>171.69</v>
      </c>
      <c r="M92" s="3">
        <v>66.33</v>
      </c>
      <c r="N92" s="3"/>
      <c r="O92" s="3"/>
      <c r="Q92" s="2">
        <f>SUM(OSRRefD28_0x)+IFERROR(SUM(OSRRefE28_0x),0)</f>
        <v>4458.5399999999991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124</v>
      </c>
      <c r="C94" s="17"/>
      <c r="D94" s="7">
        <f t="shared" ref="D94:O94" si="11">IFERROR(+D89-D92, 0)</f>
        <v>-1141.3999999999999</v>
      </c>
      <c r="E94" s="7">
        <f t="shared" si="11"/>
        <v>-4182.01</v>
      </c>
      <c r="F94" s="7">
        <f t="shared" si="11"/>
        <v>-1704.1100000000004</v>
      </c>
      <c r="G94" s="7">
        <f t="shared" si="11"/>
        <v>-2078.2899999999954</v>
      </c>
      <c r="H94" s="7">
        <f t="shared" si="11"/>
        <v>676.97</v>
      </c>
      <c r="I94" s="7">
        <f t="shared" si="11"/>
        <v>-341.89000000000004</v>
      </c>
      <c r="J94" s="7">
        <f t="shared" si="11"/>
        <v>2.960000000000008</v>
      </c>
      <c r="K94" s="7">
        <f t="shared" si="11"/>
        <v>-417.59999999999997</v>
      </c>
      <c r="L94" s="7">
        <f t="shared" si="11"/>
        <v>-316.27999999999997</v>
      </c>
      <c r="M94" s="7">
        <f t="shared" si="11"/>
        <v>-138.82</v>
      </c>
      <c r="N94" s="7">
        <f t="shared" si="11"/>
        <v>0</v>
      </c>
      <c r="O94" s="7">
        <f t="shared" si="11"/>
        <v>0</v>
      </c>
      <c r="Q94" s="7">
        <f>IFERROR(+Q89-Q92, 0)</f>
        <v>-9640.4699999999939</v>
      </c>
    </row>
    <row r="95" spans="1:17" ht="15.75" thickTop="1" x14ac:dyDescent="0.2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-0.45235107864518986</v>
      </c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292</v>
      </c>
      <c r="C98" s="17"/>
      <c r="D98" s="7">
        <f t="shared" ref="D98:O98" si="13">IFERROR(SUM(D94:D97), 0)</f>
        <v>-1141.3999999999999</v>
      </c>
      <c r="E98" s="7">
        <f t="shared" si="13"/>
        <v>-4182.3473149087677</v>
      </c>
      <c r="F98" s="7">
        <f t="shared" si="13"/>
        <v>-1704.3015574050596</v>
      </c>
      <c r="G98" s="7">
        <f t="shared" si="13"/>
        <v>-2194.3955865921739</v>
      </c>
      <c r="H98" s="7">
        <f t="shared" si="13"/>
        <v>676.97</v>
      </c>
      <c r="I98" s="7">
        <f t="shared" si="13"/>
        <v>-341.89000000000004</v>
      </c>
      <c r="J98" s="7">
        <f t="shared" si="13"/>
        <v>2.960000000000008</v>
      </c>
      <c r="K98" s="7">
        <f t="shared" si="13"/>
        <v>-417.59999999999997</v>
      </c>
      <c r="L98" s="7">
        <f t="shared" si="13"/>
        <v>-316.27999999999997</v>
      </c>
      <c r="M98" s="7">
        <f t="shared" si="13"/>
        <v>-138.82</v>
      </c>
      <c r="N98" s="7">
        <f t="shared" si="13"/>
        <v>0</v>
      </c>
      <c r="O98" s="7">
        <f t="shared" si="13"/>
        <v>0</v>
      </c>
      <c r="Q98" s="7">
        <f>IFERROR(SUM(Q94:Q97), 0)</f>
        <v>-9640.9223510786396</v>
      </c>
    </row>
    <row r="99" spans="1:17" ht="15.75" thickTop="1" x14ac:dyDescent="0.2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-0.45237230390685779</v>
      </c>
    </row>
    <row r="100" spans="1:17" x14ac:dyDescent="0.25">
      <c r="A100" s="5"/>
      <c r="B100" s="27">
        <v>44330.012769791669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25">
      <c r="A101" s="5"/>
      <c r="B101" s="31" t="s">
        <v>54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A102" s="5"/>
      <c r="B102" s="26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25"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21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SUM(OSRRefD11x_7)</f>
        <v>78083.129999999976</v>
      </c>
      <c r="L10" s="3">
        <f>SUM(OSRRefD11x_8)</f>
        <v>14994.939999999999</v>
      </c>
      <c r="M10" s="3">
        <f>SUM(OSRRefD11x_9)</f>
        <v>25651.129999999997</v>
      </c>
      <c r="N10" s="3">
        <f>SUM(OSRRefE11x_0)</f>
        <v>40742.5</v>
      </c>
      <c r="O10" s="3">
        <f>SUM(OSRRefE11x_1)</f>
        <v>11415.9</v>
      </c>
      <c r="P10" s="24"/>
      <c r="Q10" s="3">
        <f>SUM(OSRRefG11x)</f>
        <v>2731794.9200000004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v>40742.5</v>
      </c>
      <c r="O11" s="2">
        <v>11415.9</v>
      </c>
      <c r="Q11" s="2">
        <f>SUM(OSRRefD11_0x)+IFERROR(SUM(OSRRefE11_0x),0)</f>
        <v>43579.68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/>
      <c r="O12" s="2"/>
      <c r="Q12" s="2">
        <f>SUM(OSRRefD11_1x)+IFERROR(SUM(OSRRefE11_1x),0)</f>
        <v>1263810.3599999999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/>
      <c r="O13" s="2"/>
      <c r="Q13" s="2">
        <f>SUM(OSRRefD11_2x)+IFERROR(SUM(OSRRefE11_2x),0)</f>
        <v>578768.63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","4100", " - ","NON-TAXABLE SALES")</f>
        <v xml:space="preserve">          4100 - NON-TAXABLE SALES</v>
      </c>
      <c r="C19" s="22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>
        <f>--5617.7</f>
        <v>5617.7</v>
      </c>
      <c r="L19" s="2">
        <f>--2050.54</f>
        <v>2050.54</v>
      </c>
      <c r="M19" s="2">
        <f>-12385.33</f>
        <v>-12385.33</v>
      </c>
      <c r="N19" s="2"/>
      <c r="O19" s="2"/>
      <c r="Q19" s="2">
        <f>SUM(OSRRefD11_8x)+IFERROR(SUM(OSRRefE11_8x),0)</f>
        <v>273838.76999999996</v>
      </c>
    </row>
    <row r="20" spans="1:17" s="9" customFormat="1" hidden="1" outlineLevel="1" x14ac:dyDescent="0.25">
      <c r="A20" s="23"/>
      <c r="B20" s="10" t="str">
        <f>CONCATENATE("          ","4101", " - ","NON-TAXABLE SALES-NEW TEXT")</f>
        <v xml:space="preserve">          4101 - NON-TAXABLE SALES-NEW TEXT</v>
      </c>
      <c r="C20" s="22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>
        <f>--6785.91</f>
        <v>6785.91</v>
      </c>
      <c r="L20" s="2">
        <f>--1044.17</f>
        <v>1044.17</v>
      </c>
      <c r="M20" s="2">
        <f>--741.03</f>
        <v>741.03</v>
      </c>
      <c r="N20" s="2"/>
      <c r="O20" s="2"/>
      <c r="Q20" s="2">
        <f>SUM(OSRRefD11_9x)+IFERROR(SUM(OSRRefE11_9x),0)</f>
        <v>112796.74</v>
      </c>
    </row>
    <row r="21" spans="1:17" s="9" customFormat="1" hidden="1" outlineLevel="1" x14ac:dyDescent="0.25">
      <c r="A21" s="23"/>
      <c r="B21" s="10" t="str">
        <f>CONCATENATE("          ","4102", " - ","NON-TAXABLE SALES-USED TEXT")</f>
        <v xml:space="preserve">          4102 - NON-TAXABLE SALES-USED TEXT</v>
      </c>
      <c r="C21" s="22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>
        <f>--3426.05</f>
        <v>3426.05</v>
      </c>
      <c r="L21" s="2">
        <f>--1572.06</f>
        <v>1572.06</v>
      </c>
      <c r="M21" s="2">
        <f>--743.99</f>
        <v>743.99</v>
      </c>
      <c r="N21" s="2"/>
      <c r="O21" s="2"/>
      <c r="Q21" s="2">
        <f>SUM(OSRRefD11_10x)+IFERROR(SUM(OSRRefE11_10x),0)</f>
        <v>48703.420000000006</v>
      </c>
    </row>
    <row r="22" spans="1:17" s="9" customFormat="1" hidden="1" outlineLevel="1" x14ac:dyDescent="0.25">
      <c r="A22" s="23"/>
      <c r="B22" s="10" t="str">
        <f>CONCATENATE("          ","4103", " - ","NON-TAXABLE SALES-RENTAL TEXT")</f>
        <v xml:space="preserve">          4103 - NON-TAXABLE SALES-RENTAL TEXT</v>
      </c>
      <c r="C22" s="22"/>
      <c r="D22" s="2">
        <f t="shared" ref="D22:E22" si="4">0</f>
        <v>0</v>
      </c>
      <c r="E22" s="2">
        <f t="shared" si="4"/>
        <v>0</v>
      </c>
      <c r="F22" s="2">
        <f>--284.97</f>
        <v>284.97000000000003</v>
      </c>
      <c r="G22" s="2">
        <f t="shared" ref="G22:I22" si="5">0</f>
        <v>0</v>
      </c>
      <c r="H22" s="2">
        <f t="shared" si="5"/>
        <v>0</v>
      </c>
      <c r="I22" s="2">
        <f t="shared" si="5"/>
        <v>0</v>
      </c>
      <c r="J22" s="2">
        <f>--853.98</f>
        <v>853.98</v>
      </c>
      <c r="K22" s="2">
        <f t="shared" ref="K22:M22" si="6">0</f>
        <v>0</v>
      </c>
      <c r="L22" s="2">
        <f t="shared" si="6"/>
        <v>0</v>
      </c>
      <c r="M22" s="2">
        <f t="shared" si="6"/>
        <v>0</v>
      </c>
      <c r="N22" s="2"/>
      <c r="O22" s="2"/>
      <c r="Q22" s="2">
        <f>SUM(OSRRefD11_11x)+IFERROR(SUM(OSRRefE11_11x),0)</f>
        <v>1138.95</v>
      </c>
    </row>
    <row r="23" spans="1:17" s="9" customFormat="1" hidden="1" outlineLevel="1" x14ac:dyDescent="0.25">
      <c r="A23" s="23"/>
      <c r="B23" s="10" t="str">
        <f>CONCATENATE("          ","4104", " - ","NON-TAXABLE SALES-DIGITAL TEXT")</f>
        <v xml:space="preserve">          4104 - NON-TAXABLE SALES-DIGITAL TEXT</v>
      </c>
      <c r="C23" s="22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>
        <f>--17705.92</f>
        <v>17705.919999999998</v>
      </c>
      <c r="L23" s="2">
        <f>--1097.13</f>
        <v>1097.1300000000001</v>
      </c>
      <c r="M23" s="2">
        <f>--3431.99</f>
        <v>3431.99</v>
      </c>
      <c r="N23" s="2"/>
      <c r="O23" s="2"/>
      <c r="Q23" s="2">
        <f>SUM(OSRRefD11_12x)+IFERROR(SUM(OSRRefE11_12x),0)</f>
        <v>480403.16999999993</v>
      </c>
    </row>
    <row r="24" spans="1:17" s="9" customFormat="1" hidden="1" outlineLevel="1" x14ac:dyDescent="0.25">
      <c r="A24" s="23"/>
      <c r="B24" s="10" t="str">
        <f>CONCATENATE("          ","4113", " - ","NON-TAXABLE SALES-TRADE BOOKS")</f>
        <v xml:space="preserve">          4113 - NON-TAXABLE SALES-TRADE BOOKS</v>
      </c>
      <c r="C24" s="22"/>
      <c r="D24" s="2">
        <f t="shared" ref="D24:F24" si="7">0</f>
        <v>0</v>
      </c>
      <c r="E24" s="2">
        <f t="shared" si="7"/>
        <v>0</v>
      </c>
      <c r="F24" s="2">
        <f t="shared" si="7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>
        <f>--3150</f>
        <v>3150</v>
      </c>
      <c r="L24" s="2">
        <f>--1250</f>
        <v>1250</v>
      </c>
      <c r="M24" s="2">
        <f>--738</f>
        <v>738</v>
      </c>
      <c r="N24" s="2"/>
      <c r="O24" s="2"/>
      <c r="Q24" s="2">
        <f>SUM(OSRRefD11_13x)+IFERROR(SUM(OSRRefE11_13x),0)</f>
        <v>12127.25</v>
      </c>
    </row>
    <row r="25" spans="1:17" s="9" customFormat="1" hidden="1" outlineLevel="1" x14ac:dyDescent="0.25">
      <c r="A25" s="23"/>
      <c r="B25" s="10" t="str">
        <f>CONCATENATE("          ","4118", " - ","NON-TAXABLE SALES-STUDY GUIDES")</f>
        <v xml:space="preserve">          4118 - NON-TAXABLE SALES-STUDY GUIDES</v>
      </c>
      <c r="C25" s="22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>
        <f t="shared" ref="K25:M25" si="8">0</f>
        <v>0</v>
      </c>
      <c r="L25" s="2">
        <f t="shared" si="8"/>
        <v>0</v>
      </c>
      <c r="M25" s="2">
        <f t="shared" si="8"/>
        <v>0</v>
      </c>
      <c r="N25" s="2"/>
      <c r="O25" s="2"/>
      <c r="Q25" s="2">
        <f>SUM(OSRRefD11_14x)+IFERROR(SUM(OSRRefE11_14x),0)</f>
        <v>771.73</v>
      </c>
    </row>
    <row r="26" spans="1:17" s="9" customFormat="1" hidden="1" outlineLevel="1" x14ac:dyDescent="0.25">
      <c r="A26" s="23"/>
      <c r="B26" s="10" t="str">
        <f>CONCATENATE("          ","4201", " - ","SALES RETURN TAXABLE-NEW TEXT")</f>
        <v xml:space="preserve">          4201 - SALES RETURN TAXABLE-NEW TEXT</v>
      </c>
      <c r="C26" s="22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>
        <f>-2146.49</f>
        <v>-2146.4899999999998</v>
      </c>
      <c r="L26" s="2">
        <f>-596.94</f>
        <v>-596.94000000000005</v>
      </c>
      <c r="M26" s="2">
        <f>-376.85</f>
        <v>-376.85</v>
      </c>
      <c r="N26" s="2"/>
      <c r="O26" s="2"/>
      <c r="Q26" s="2">
        <f>SUM(OSRRefD11_15x)+IFERROR(SUM(OSRRefE11_15x),0)</f>
        <v>-51638.020000000004</v>
      </c>
    </row>
    <row r="27" spans="1:17" s="9" customFormat="1" hidden="1" outlineLevel="1" x14ac:dyDescent="0.25">
      <c r="A27" s="23"/>
      <c r="B27" s="10" t="str">
        <f>CONCATENATE("          ","4202", " - ","SALES RETURN TAXABLE-USED TEXT")</f>
        <v xml:space="preserve">          4202 - SALES RETURN TAXABLE-USED TEXT</v>
      </c>
      <c r="C27" s="22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>
        <f>-1199.21</f>
        <v>-1199.21</v>
      </c>
      <c r="L27" s="2">
        <f>-153.8</f>
        <v>-153.80000000000001</v>
      </c>
      <c r="M27" s="2">
        <f>-206.95</f>
        <v>-206.95</v>
      </c>
      <c r="N27" s="2"/>
      <c r="O27" s="2"/>
      <c r="Q27" s="2">
        <f>SUM(OSRRefD11_16x)+IFERROR(SUM(OSRRefE11_16x),0)</f>
        <v>-20096.259999999998</v>
      </c>
    </row>
    <row r="28" spans="1:17" s="9" customFormat="1" hidden="1" outlineLevel="1" x14ac:dyDescent="0.25">
      <c r="A28" s="23"/>
      <c r="B28" s="10" t="str">
        <f>CONCATENATE("          ","4204", " - ","SALES RETURN TAXABLE-DIGITAL T")</f>
        <v xml:space="preserve">          4204 - SALES RETURN TAXABLE-DIGITAL T</v>
      </c>
      <c r="C28" s="22"/>
      <c r="D28" s="2">
        <f t="shared" ref="D28:D31" si="9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31" si="10">0</f>
        <v>0</v>
      </c>
      <c r="I28" s="2">
        <f t="shared" ref="I28:J30" si="11">0</f>
        <v>0</v>
      </c>
      <c r="J28" s="2">
        <f t="shared" si="11"/>
        <v>0</v>
      </c>
      <c r="K28" s="2">
        <f>-132.25</f>
        <v>-132.25</v>
      </c>
      <c r="L28" s="2">
        <f t="shared" ref="L28:M29" si="12">0</f>
        <v>0</v>
      </c>
      <c r="M28" s="2">
        <f t="shared" si="12"/>
        <v>0</v>
      </c>
      <c r="N28" s="2"/>
      <c r="O28" s="2"/>
      <c r="Q28" s="2">
        <f>SUM(OSRRefD11_17x)+IFERROR(SUM(OSRRefE11_17x),0)</f>
        <v>-1763.1</v>
      </c>
    </row>
    <row r="29" spans="1:17" s="9" customFormat="1" hidden="1" outlineLevel="1" x14ac:dyDescent="0.25">
      <c r="A29" s="23"/>
      <c r="B29" s="10" t="str">
        <f>CONCATENATE("          ","4213", " - ","NON-TAXABLE SALES-TRADE BOOKS")</f>
        <v xml:space="preserve">          4213 - NON-TAXABLE SALES-TRADE BOOKS</v>
      </c>
      <c r="C29" s="22"/>
      <c r="D29" s="2">
        <f t="shared" si="9"/>
        <v>0</v>
      </c>
      <c r="E29" s="2">
        <f t="shared" ref="E29:G30" si="13">0</f>
        <v>0</v>
      </c>
      <c r="F29" s="2">
        <f t="shared" si="13"/>
        <v>0</v>
      </c>
      <c r="G29" s="2">
        <f t="shared" si="13"/>
        <v>0</v>
      </c>
      <c r="H29" s="2">
        <f t="shared" si="10"/>
        <v>0</v>
      </c>
      <c r="I29" s="2">
        <f t="shared" si="11"/>
        <v>0</v>
      </c>
      <c r="J29" s="2">
        <f t="shared" si="11"/>
        <v>0</v>
      </c>
      <c r="K29" s="2">
        <f>-69.93</f>
        <v>-69.930000000000007</v>
      </c>
      <c r="L29" s="2">
        <f t="shared" si="12"/>
        <v>0</v>
      </c>
      <c r="M29" s="2">
        <f t="shared" si="12"/>
        <v>0</v>
      </c>
      <c r="N29" s="2"/>
      <c r="O29" s="2"/>
      <c r="Q29" s="2">
        <f>SUM(OSRRefD11_18x)+IFERROR(SUM(OSRRefE11_18x),0)</f>
        <v>-69.930000000000007</v>
      </c>
    </row>
    <row r="30" spans="1:17" s="9" customFormat="1" hidden="1" outlineLevel="1" x14ac:dyDescent="0.25">
      <c r="A30" s="23"/>
      <c r="B30" s="10" t="str">
        <f>CONCATENATE("          ","4218", " - ","SALES RETURN TAXABLE-STUDY GUI")</f>
        <v xml:space="preserve">          4218 - SALES RETURN TAXABLE-STUDY GUI</v>
      </c>
      <c r="C30" s="22"/>
      <c r="D30" s="2">
        <f t="shared" si="9"/>
        <v>0</v>
      </c>
      <c r="E30" s="2">
        <f t="shared" si="13"/>
        <v>0</v>
      </c>
      <c r="F30" s="2">
        <f t="shared" si="13"/>
        <v>0</v>
      </c>
      <c r="G30" s="2">
        <f t="shared" si="13"/>
        <v>0</v>
      </c>
      <c r="H30" s="2">
        <f t="shared" si="10"/>
        <v>0</v>
      </c>
      <c r="I30" s="2">
        <f t="shared" si="11"/>
        <v>0</v>
      </c>
      <c r="J30" s="2">
        <f t="shared" si="11"/>
        <v>0</v>
      </c>
      <c r="K30" s="2">
        <f>0</f>
        <v>0</v>
      </c>
      <c r="L30" s="2">
        <f>-5.21</f>
        <v>-5.21</v>
      </c>
      <c r="M30" s="2">
        <f>0</f>
        <v>0</v>
      </c>
      <c r="N30" s="2"/>
      <c r="O30" s="2"/>
      <c r="Q30" s="2">
        <f>SUM(OSRRefD11_19x)+IFERROR(SUM(OSRRefE11_19x),0)</f>
        <v>-5.21</v>
      </c>
    </row>
    <row r="31" spans="1:17" s="9" customFormat="1" hidden="1" outlineLevel="1" x14ac:dyDescent="0.25">
      <c r="A31" s="23"/>
      <c r="B31" s="10" t="str">
        <f>CONCATENATE("          ","4301", " - ","SALES RETURN NON TAXABLE-NEW T")</f>
        <v xml:space="preserve">          4301 - SALES RETURN NON TAXABLE-NEW T</v>
      </c>
      <c r="C31" s="22"/>
      <c r="D31" s="2">
        <f t="shared" si="9"/>
        <v>0</v>
      </c>
      <c r="E31" s="2">
        <f>-20.25</f>
        <v>-20.25</v>
      </c>
      <c r="F31" s="2">
        <f>-1820.43</f>
        <v>-1820.43</v>
      </c>
      <c r="G31" s="2">
        <f>-535.49</f>
        <v>-535.49</v>
      </c>
      <c r="H31" s="2">
        <f t="shared" si="10"/>
        <v>0</v>
      </c>
      <c r="I31" s="2">
        <f>-372.93</f>
        <v>-372.93</v>
      </c>
      <c r="J31" s="2">
        <f>-256.69</f>
        <v>-256.69</v>
      </c>
      <c r="K31" s="2">
        <f>-231.5</f>
        <v>-231.5</v>
      </c>
      <c r="L31" s="2">
        <f>0</f>
        <v>0</v>
      </c>
      <c r="M31" s="2">
        <f>-225.91</f>
        <v>-225.91</v>
      </c>
      <c r="N31" s="2"/>
      <c r="O31" s="2"/>
      <c r="Q31" s="2">
        <f>SUM(OSRRefD11_20x)+IFERROR(SUM(OSRRefE11_20x),0)</f>
        <v>-3463.2</v>
      </c>
    </row>
    <row r="32" spans="1:17" s="9" customFormat="1" hidden="1" outlineLevel="1" x14ac:dyDescent="0.25">
      <c r="A32" s="23"/>
      <c r="B32" s="10" t="str">
        <f>CONCATENATE("          ","4302", " - ","SALES RETURN NON TAXABLE-TEXT")</f>
        <v xml:space="preserve">          4302 - SALES RETURN NON TAXABLE-TEXT</v>
      </c>
      <c r="C32" s="22"/>
      <c r="D32" s="2">
        <f>-63.67</f>
        <v>-63.67</v>
      </c>
      <c r="E32" s="2">
        <f>-346.17</f>
        <v>-346.17</v>
      </c>
      <c r="F32" s="2">
        <f>-737.24</f>
        <v>-737.24</v>
      </c>
      <c r="G32" s="2">
        <f>-169.72</f>
        <v>-169.72</v>
      </c>
      <c r="H32" s="2">
        <f>-76.05</f>
        <v>-76.05</v>
      </c>
      <c r="I32" s="2">
        <f>-77.35</f>
        <v>-77.349999999999994</v>
      </c>
      <c r="J32" s="2">
        <f>-532.96</f>
        <v>-532.96</v>
      </c>
      <c r="K32" s="2">
        <f>-70.32</f>
        <v>-70.319999999999993</v>
      </c>
      <c r="L32" s="2">
        <f>-270.87</f>
        <v>-270.87</v>
      </c>
      <c r="M32" s="2">
        <f>-98.97</f>
        <v>-98.97</v>
      </c>
      <c r="N32" s="2"/>
      <c r="O32" s="2"/>
      <c r="Q32" s="2">
        <f>SUM(OSRRefD11_21x)+IFERROR(SUM(OSRRefE11_21x),0)</f>
        <v>-2443.3199999999997</v>
      </c>
    </row>
    <row r="33" spans="1:17" s="9" customFormat="1" hidden="1" outlineLevel="1" x14ac:dyDescent="0.25">
      <c r="A33" s="23"/>
      <c r="B33" s="10" t="str">
        <f>CONCATENATE("          ","4304", " - ","SALES RETURN NON TAXABLE-DIGIT")</f>
        <v xml:space="preserve">          4304 - SALES RETURN NON TAXABLE-DIGIT</v>
      </c>
      <c r="C33" s="22"/>
      <c r="D33" s="2">
        <f>-452.05</f>
        <v>-452.05</v>
      </c>
      <c r="E33" s="2">
        <f>-5500.68</f>
        <v>-5500.68</v>
      </c>
      <c r="F33" s="2">
        <f>-7456.63</f>
        <v>-7456.63</v>
      </c>
      <c r="G33" s="2">
        <f>-692.75</f>
        <v>-692.75</v>
      </c>
      <c r="H33" s="2">
        <f>-176.43</f>
        <v>-176.43</v>
      </c>
      <c r="I33" s="2">
        <f>-144.23</f>
        <v>-144.22999999999999</v>
      </c>
      <c r="J33" s="2">
        <f>-10673</f>
        <v>-10673</v>
      </c>
      <c r="K33" s="2">
        <f>-2172.95</f>
        <v>-2172.9499999999998</v>
      </c>
      <c r="L33" s="2">
        <f>-275.04</f>
        <v>-275.04000000000002</v>
      </c>
      <c r="M33" s="2">
        <f>0</f>
        <v>0</v>
      </c>
      <c r="N33" s="2"/>
      <c r="O33" s="2"/>
      <c r="Q33" s="2">
        <f>SUM(OSRRefD11_22x)+IFERROR(SUM(OSRRefE11_22x),0)</f>
        <v>-27543.760000000002</v>
      </c>
    </row>
    <row r="34" spans="1:17" x14ac:dyDescent="0.25">
      <c r="A34" s="5"/>
      <c r="B34" s="6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9" customFormat="1" collapsed="1" x14ac:dyDescent="0.25">
      <c r="A35" s="23"/>
      <c r="B35" s="16" t="s">
        <v>217</v>
      </c>
      <c r="C35" s="22"/>
      <c r="D35" s="3">
        <f>SUM(OSRRefD14x_0)</f>
        <v>30817.280000000042</v>
      </c>
      <c r="E35" s="3">
        <f>SUM(OSRRefD14x_1)</f>
        <v>892362.06000000017</v>
      </c>
      <c r="F35" s="3">
        <f>SUM(OSRRefD14x_2)</f>
        <v>157316.5</v>
      </c>
      <c r="G35" s="3">
        <f>SUM(OSRRefD14x_3)</f>
        <v>26221.499999999985</v>
      </c>
      <c r="H35" s="3">
        <f>SUM(OSRRefD14x_4)</f>
        <v>6522.4900000000307</v>
      </c>
      <c r="I35" s="3">
        <f>SUM(OSRRefD14x_5)</f>
        <v>9464.3199999999924</v>
      </c>
      <c r="J35" s="3">
        <f>SUM(OSRRefD14x_6)</f>
        <v>686871.82000000007</v>
      </c>
      <c r="K35" s="3">
        <f>SUM(OSRRefD14x_7)</f>
        <v>53931.379999999983</v>
      </c>
      <c r="L35" s="3">
        <f>SUM(OSRRefD14x_8)</f>
        <v>9743.3700000000135</v>
      </c>
      <c r="M35" s="3">
        <f>SUM(OSRRefD14x_9)</f>
        <v>31268.500000000022</v>
      </c>
      <c r="N35" s="3">
        <f>SUM(OSRRefE14x_0)</f>
        <v>29821</v>
      </c>
      <c r="O35" s="3">
        <f>SUM(OSRRefE14x_1)</f>
        <v>8288</v>
      </c>
      <c r="Q35" s="3">
        <f>SUM(OSRRefG14x)</f>
        <v>1942628.2199999995</v>
      </c>
    </row>
    <row r="36" spans="1:17" s="9" customFormat="1" hidden="1" outlineLevel="1" x14ac:dyDescent="0.25">
      <c r="A36" s="23"/>
      <c r="B36" s="10" t="str">
        <f>CONCATENATE("          ","5000", " - ","PURCHASES @ COST")</f>
        <v xml:space="preserve">          5000 - PURCHASES @ COST</v>
      </c>
      <c r="C36" s="22"/>
      <c r="D36" s="2"/>
      <c r="E36" s="2"/>
      <c r="F36" s="2">
        <v>0</v>
      </c>
      <c r="G36" s="2">
        <v>0</v>
      </c>
      <c r="H36" s="2"/>
      <c r="I36" s="2"/>
      <c r="J36" s="2">
        <v>0</v>
      </c>
      <c r="K36" s="2"/>
      <c r="L36" s="2">
        <v>0</v>
      </c>
      <c r="M36" s="2"/>
      <c r="N36" s="2">
        <v>29821</v>
      </c>
      <c r="O36" s="2">
        <v>8288</v>
      </c>
      <c r="Q36" s="2">
        <f>SUM(OSRRefD14_0x)+IFERROR(SUM(OSRRefE14_0x),0)</f>
        <v>38109</v>
      </c>
    </row>
    <row r="37" spans="1:17" s="9" customFormat="1" hidden="1" outlineLevel="1" x14ac:dyDescent="0.25">
      <c r="A37" s="23"/>
      <c r="B37" s="10" t="str">
        <f>CONCATENATE("          ","5001", " - ","PURCHASES @ COST-NEW TEXT")</f>
        <v xml:space="preserve">          5001 - PURCHASES @ COST-NEW TEXT</v>
      </c>
      <c r="C37" s="22"/>
      <c r="D37" s="2">
        <v>153110.63</v>
      </c>
      <c r="E37" s="2">
        <v>538222.14</v>
      </c>
      <c r="F37" s="2">
        <v>602088.99</v>
      </c>
      <c r="G37" s="2">
        <v>55775.07</v>
      </c>
      <c r="H37" s="2">
        <v>-108601.35</v>
      </c>
      <c r="I37" s="2">
        <v>37317.56</v>
      </c>
      <c r="J37" s="2">
        <v>381096.17</v>
      </c>
      <c r="K37" s="2">
        <v>-332593.57</v>
      </c>
      <c r="L37" s="2">
        <v>-290899.24</v>
      </c>
      <c r="M37" s="2">
        <v>-28969.93</v>
      </c>
      <c r="N37" s="2"/>
      <c r="O37" s="2"/>
      <c r="Q37" s="2">
        <f>SUM(OSRRefD14_1x)+IFERROR(SUM(OSRRefE14_1x),0)</f>
        <v>1006546.4699999999</v>
      </c>
    </row>
    <row r="38" spans="1:17" s="9" customFormat="1" hidden="1" outlineLevel="1" x14ac:dyDescent="0.25">
      <c r="A38" s="23"/>
      <c r="B38" s="10" t="str">
        <f>CONCATENATE("          ","5002", " - ","PURCHASES @ COST-USED TEXT")</f>
        <v xml:space="preserve">          5002 - PURCHASES @ COST-USED TEXT</v>
      </c>
      <c r="C38" s="22"/>
      <c r="D38" s="2">
        <v>60324.85</v>
      </c>
      <c r="E38" s="2">
        <v>128042.67</v>
      </c>
      <c r="F38" s="2">
        <v>108363.86</v>
      </c>
      <c r="G38" s="2">
        <v>6331.95</v>
      </c>
      <c r="H38" s="2">
        <v>-208829.28</v>
      </c>
      <c r="I38" s="2">
        <v>70238.87</v>
      </c>
      <c r="J38" s="2">
        <v>95863.360000000001</v>
      </c>
      <c r="K38" s="2">
        <v>121987.94</v>
      </c>
      <c r="L38" s="2">
        <v>14728.45</v>
      </c>
      <c r="M38" s="2">
        <v>-122091.65</v>
      </c>
      <c r="N38" s="2"/>
      <c r="O38" s="2"/>
      <c r="Q38" s="2">
        <f>SUM(OSRRefD14_2x)+IFERROR(SUM(OSRRefE14_2x),0)</f>
        <v>274961.02</v>
      </c>
    </row>
    <row r="39" spans="1:17" s="9" customFormat="1" hidden="1" outlineLevel="1" x14ac:dyDescent="0.25">
      <c r="A39" s="23"/>
      <c r="B39" s="10" t="str">
        <f>CONCATENATE("          ","5003", " - ","PURCHASES @ COST-RENTAL TEXT")</f>
        <v xml:space="preserve">          5003 - PURCHASES @ COST-RENTAL TEXT</v>
      </c>
      <c r="C39" s="22"/>
      <c r="D39" s="2">
        <v>-11926.64</v>
      </c>
      <c r="E39" s="2">
        <v>58.8</v>
      </c>
      <c r="F39" s="2">
        <v>781.74</v>
      </c>
      <c r="G39" s="2">
        <v>10600.69</v>
      </c>
      <c r="H39" s="2">
        <v>517.92999999999995</v>
      </c>
      <c r="I39" s="2"/>
      <c r="J39" s="2"/>
      <c r="K39" s="2"/>
      <c r="L39" s="2"/>
      <c r="M39" s="2"/>
      <c r="N39" s="2"/>
      <c r="O39" s="2"/>
      <c r="Q39" s="2">
        <f>SUM(OSRRefD14_3x)+IFERROR(SUM(OSRRefE14_3x),0)</f>
        <v>32.520000000000095</v>
      </c>
    </row>
    <row r="40" spans="1:17" s="9" customFormat="1" hidden="1" outlineLevel="1" x14ac:dyDescent="0.25">
      <c r="A40" s="23"/>
      <c r="B40" s="10" t="str">
        <f>CONCATENATE("          ","5004", " - ","PURCHASES @ COST-DIGITAL TEXT")</f>
        <v xml:space="preserve">          5004 - PURCHASES @ COST-DIGITAL TEXT</v>
      </c>
      <c r="C40" s="22"/>
      <c r="D40" s="2">
        <v>4925.4799999999996</v>
      </c>
      <c r="E40" s="2">
        <v>117504.49</v>
      </c>
      <c r="F40" s="2">
        <v>60186.1</v>
      </c>
      <c r="G40" s="2">
        <v>12903.46</v>
      </c>
      <c r="H40" s="2">
        <v>1418.58</v>
      </c>
      <c r="I40" s="2">
        <v>900</v>
      </c>
      <c r="J40" s="2">
        <v>18888.45</v>
      </c>
      <c r="K40" s="2">
        <v>3282.02</v>
      </c>
      <c r="L40" s="2">
        <v>-13446.08</v>
      </c>
      <c r="M40" s="2">
        <v>887.88</v>
      </c>
      <c r="N40" s="2"/>
      <c r="O40" s="2"/>
      <c r="Q40" s="2">
        <f>SUM(OSRRefD14_4x)+IFERROR(SUM(OSRRefE14_4x),0)</f>
        <v>207450.38</v>
      </c>
    </row>
    <row r="41" spans="1:17" s="9" customFormat="1" hidden="1" outlineLevel="1" x14ac:dyDescent="0.25">
      <c r="A41" s="23"/>
      <c r="B41" s="10" t="str">
        <f>CONCATENATE("          ","5011", " - ","PURCHASES @ COST-NO VALUE TEXT")</f>
        <v xml:space="preserve">          5011 - PURCHASES @ COST-NO VALUE TEXT</v>
      </c>
      <c r="C41" s="22"/>
      <c r="D41" s="2"/>
      <c r="E41" s="2"/>
      <c r="F41" s="2"/>
      <c r="G41" s="2">
        <v>67.17</v>
      </c>
      <c r="H41" s="2"/>
      <c r="I41" s="2"/>
      <c r="J41" s="2"/>
      <c r="K41" s="2"/>
      <c r="L41" s="2"/>
      <c r="M41" s="2"/>
      <c r="N41" s="2"/>
      <c r="O41" s="2"/>
      <c r="Q41" s="2">
        <f>SUM(OSRRefD14_5x)+IFERROR(SUM(OSRRefE14_5x),0)</f>
        <v>67.17</v>
      </c>
    </row>
    <row r="42" spans="1:17" s="9" customFormat="1" hidden="1" outlineLevel="1" x14ac:dyDescent="0.25">
      <c r="A42" s="23"/>
      <c r="B42" s="10" t="str">
        <f>CONCATENATE("          ","5013", " - ","PURCHASES @ COST-TRADE BOOKS")</f>
        <v xml:space="preserve">          5013 - PURCHASES @ COST-TRADE BOOKS</v>
      </c>
      <c r="C42" s="22"/>
      <c r="D42" s="2">
        <v>108.54</v>
      </c>
      <c r="E42" s="2"/>
      <c r="F42" s="2">
        <v>-9.36</v>
      </c>
      <c r="G42" s="2">
        <v>1384.46</v>
      </c>
      <c r="H42" s="2">
        <v>611.1</v>
      </c>
      <c r="I42" s="2">
        <v>31.11</v>
      </c>
      <c r="J42" s="2">
        <v>3531.13</v>
      </c>
      <c r="K42" s="2">
        <v>305.11</v>
      </c>
      <c r="L42" s="2">
        <v>2907.93</v>
      </c>
      <c r="M42" s="2">
        <v>800</v>
      </c>
      <c r="N42" s="2"/>
      <c r="O42" s="2"/>
      <c r="Q42" s="2">
        <f>SUM(OSRRefD14_6x)+IFERROR(SUM(OSRRefE14_6x),0)</f>
        <v>9670.02</v>
      </c>
    </row>
    <row r="43" spans="1:17" s="9" customFormat="1" hidden="1" outlineLevel="1" x14ac:dyDescent="0.25">
      <c r="A43" s="23"/>
      <c r="B43" s="10" t="str">
        <f>CONCATENATE("          ","5014", " - ","PURCHASES @ COST-REMAINDERS")</f>
        <v xml:space="preserve">          5014 - PURCHASES @ COST-REMAINDERS</v>
      </c>
      <c r="C43" s="22"/>
      <c r="D43" s="2">
        <v>-12.51</v>
      </c>
      <c r="E43" s="2"/>
      <c r="F43" s="2"/>
      <c r="G43" s="2">
        <v>102.92</v>
      </c>
      <c r="H43" s="2"/>
      <c r="I43" s="2"/>
      <c r="J43" s="2"/>
      <c r="K43" s="2">
        <v>21.16</v>
      </c>
      <c r="L43" s="2"/>
      <c r="M43" s="2"/>
      <c r="N43" s="2"/>
      <c r="O43" s="2"/>
      <c r="Q43" s="2">
        <f>SUM(OSRRefD14_7x)+IFERROR(SUM(OSRRefE14_7x),0)</f>
        <v>111.57</v>
      </c>
    </row>
    <row r="44" spans="1:17" s="9" customFormat="1" hidden="1" outlineLevel="1" x14ac:dyDescent="0.25">
      <c r="A44" s="23"/>
      <c r="B44" s="10" t="str">
        <f>CONCATENATE("          ","5018", " - ","PURCHASES @ COST-STUDY GUIDES")</f>
        <v xml:space="preserve">          5018 - PURCHASES @ COST-STUDY GUIDES</v>
      </c>
      <c r="C44" s="22"/>
      <c r="D44" s="2"/>
      <c r="E44" s="2"/>
      <c r="F44" s="2"/>
      <c r="G44" s="2"/>
      <c r="H44" s="2">
        <v>106.34</v>
      </c>
      <c r="I44" s="2"/>
      <c r="J44" s="2">
        <v>416</v>
      </c>
      <c r="K44" s="2"/>
      <c r="L44" s="2">
        <v>444.87</v>
      </c>
      <c r="M44" s="2"/>
      <c r="N44" s="2"/>
      <c r="O44" s="2"/>
      <c r="Q44" s="2">
        <f>SUM(OSRRefD14_8x)+IFERROR(SUM(OSRRefE14_8x),0)</f>
        <v>967.21</v>
      </c>
    </row>
    <row r="45" spans="1:17" s="9" customFormat="1" hidden="1" outlineLevel="1" x14ac:dyDescent="0.25">
      <c r="A45" s="23"/>
      <c r="B45" s="10" t="str">
        <f>CONCATENATE("          ","5200", " - ","PURCHASES OFFSET")</f>
        <v xml:space="preserve">          5200 - PURCHASES OFFSET</v>
      </c>
      <c r="C45" s="22"/>
      <c r="D45" s="2">
        <v>-202651.68</v>
      </c>
      <c r="E45" s="2">
        <v>-478701.26</v>
      </c>
      <c r="F45" s="2">
        <v>-757174.69</v>
      </c>
      <c r="G45" s="2">
        <v>-111446.85</v>
      </c>
      <c r="H45" s="2">
        <v>313747.15000000002</v>
      </c>
      <c r="I45" s="2">
        <v>-114446.47</v>
      </c>
      <c r="J45" s="2">
        <v>-321969.3</v>
      </c>
      <c r="K45" s="2">
        <v>212842.2</v>
      </c>
      <c r="L45" s="2">
        <v>285586.77</v>
      </c>
      <c r="M45" s="2">
        <v>149318.16</v>
      </c>
      <c r="N45" s="2"/>
      <c r="O45" s="2"/>
      <c r="Q45" s="2">
        <f>SUM(OSRRefD14_9x)+IFERROR(SUM(OSRRefE14_9x),0)</f>
        <v>-1024895.9700000001</v>
      </c>
    </row>
    <row r="46" spans="1:17" s="9" customFormat="1" hidden="1" outlineLevel="1" x14ac:dyDescent="0.25">
      <c r="A46" s="23"/>
      <c r="B46" s="10" t="str">
        <f>CONCATENATE("          ","5300", " - ","COG$ OFFSET")</f>
        <v xml:space="preserve">          5300 - COG$ OFFSET</v>
      </c>
      <c r="C46" s="22"/>
      <c r="D46" s="2">
        <v>26088</v>
      </c>
      <c r="E46" s="2">
        <v>581368</v>
      </c>
      <c r="F46" s="2">
        <v>130513</v>
      </c>
      <c r="G46" s="2">
        <v>24962</v>
      </c>
      <c r="H46" s="2">
        <v>6147</v>
      </c>
      <c r="I46" s="2">
        <v>10619</v>
      </c>
      <c r="J46" s="2">
        <v>499754</v>
      </c>
      <c r="K46" s="2">
        <v>41957</v>
      </c>
      <c r="L46" s="2">
        <v>8920</v>
      </c>
      <c r="M46" s="2">
        <v>30994</v>
      </c>
      <c r="N46" s="2"/>
      <c r="O46" s="2"/>
      <c r="Q46" s="2">
        <f>SUM(OSRRefD14_10x)+IFERROR(SUM(OSRRefE14_10x),0)</f>
        <v>1361322</v>
      </c>
    </row>
    <row r="47" spans="1:17" s="9" customFormat="1" hidden="1" outlineLevel="1" x14ac:dyDescent="0.25">
      <c r="A47" s="23"/>
      <c r="B47" s="10" t="str">
        <f>CONCATENATE("          ","5500", " - ","FREIGHT-IN")</f>
        <v xml:space="preserve">          5500 - FREIGHT-IN</v>
      </c>
      <c r="C47" s="22"/>
      <c r="D47" s="2">
        <v>0</v>
      </c>
      <c r="E47" s="2">
        <v>0</v>
      </c>
      <c r="F47" s="2">
        <v>0</v>
      </c>
      <c r="G47" s="2"/>
      <c r="H47" s="2"/>
      <c r="I47" s="2">
        <v>0</v>
      </c>
      <c r="J47" s="2">
        <v>0</v>
      </c>
      <c r="K47" s="2">
        <v>0</v>
      </c>
      <c r="L47" s="2"/>
      <c r="M47" s="2"/>
      <c r="N47" s="2"/>
      <c r="O47" s="2"/>
      <c r="Q47" s="2">
        <f>SUM(OSRRefD14_11x)+IFERROR(SUM(OSRRefE14_11x),0)</f>
        <v>0</v>
      </c>
    </row>
    <row r="48" spans="1:17" s="9" customFormat="1" hidden="1" outlineLevel="1" x14ac:dyDescent="0.25">
      <c r="A48" s="23"/>
      <c r="B48" s="10" t="str">
        <f>CONCATENATE("          ","5501", " - ","FREIGHT-IN-NEW TEXT")</f>
        <v xml:space="preserve">          5501 - FREIGHT-IN-NEW TEXT</v>
      </c>
      <c r="C48" s="22"/>
      <c r="D48" s="2">
        <v>802.72</v>
      </c>
      <c r="E48" s="2">
        <v>4680.5600000000004</v>
      </c>
      <c r="F48" s="2">
        <v>5279.6</v>
      </c>
      <c r="G48" s="2">
        <v>23295.74</v>
      </c>
      <c r="H48" s="2">
        <v>990.19</v>
      </c>
      <c r="I48" s="2">
        <v>2414.77</v>
      </c>
      <c r="J48" s="2">
        <v>7155.21</v>
      </c>
      <c r="K48" s="2">
        <v>4638.13</v>
      </c>
      <c r="L48" s="2">
        <v>785.54</v>
      </c>
      <c r="M48" s="2">
        <v>271.27</v>
      </c>
      <c r="N48" s="2"/>
      <c r="O48" s="2"/>
      <c r="Q48" s="2">
        <f>SUM(OSRRefD14_12x)+IFERROR(SUM(OSRRefE14_12x),0)</f>
        <v>50313.729999999996</v>
      </c>
    </row>
    <row r="49" spans="1:17" s="9" customFormat="1" hidden="1" outlineLevel="1" x14ac:dyDescent="0.25">
      <c r="A49" s="23"/>
      <c r="B49" s="10" t="str">
        <f>CONCATENATE("          ","5502", " - ","FREIGHT-IN-USED TEXT")</f>
        <v xml:space="preserve">          5502 - FREIGHT-IN-USED TEXT</v>
      </c>
      <c r="C49" s="22"/>
      <c r="D49" s="2">
        <v>47.89</v>
      </c>
      <c r="E49" s="2">
        <v>1186.6600000000001</v>
      </c>
      <c r="F49" s="2">
        <v>7276.27</v>
      </c>
      <c r="G49" s="2">
        <v>2233.9</v>
      </c>
      <c r="H49" s="2">
        <v>388.37</v>
      </c>
      <c r="I49" s="2">
        <v>2389.48</v>
      </c>
      <c r="J49" s="2">
        <v>2129.7399999999998</v>
      </c>
      <c r="K49" s="2">
        <v>1484.45</v>
      </c>
      <c r="L49" s="2">
        <v>663.37</v>
      </c>
      <c r="M49" s="2">
        <v>58.77</v>
      </c>
      <c r="N49" s="2"/>
      <c r="O49" s="2"/>
      <c r="Q49" s="2">
        <f>SUM(OSRRefD14_13x)+IFERROR(SUM(OSRRefE14_13x),0)</f>
        <v>17858.899999999998</v>
      </c>
    </row>
    <row r="50" spans="1:17" s="9" customFormat="1" hidden="1" outlineLevel="1" x14ac:dyDescent="0.25">
      <c r="A50" s="23"/>
      <c r="B50" s="10" t="str">
        <f>CONCATENATE("          ","5504", " - ","FREIGHT-IN-DIGITAL TEXT")</f>
        <v xml:space="preserve">          5504 - FREIGHT-IN-DIGITAL TEXT</v>
      </c>
      <c r="C50" s="22"/>
      <c r="D50" s="2"/>
      <c r="E50" s="2"/>
      <c r="F50" s="2">
        <v>10.99</v>
      </c>
      <c r="G50" s="2">
        <v>10.99</v>
      </c>
      <c r="H50" s="2"/>
      <c r="I50" s="2"/>
      <c r="J50" s="2"/>
      <c r="K50" s="2">
        <v>6.94</v>
      </c>
      <c r="L50" s="2"/>
      <c r="M50" s="2"/>
      <c r="N50" s="2"/>
      <c r="O50" s="2"/>
      <c r="Q50" s="2">
        <f>SUM(OSRRefD14_14x)+IFERROR(SUM(OSRRefE14_14x),0)</f>
        <v>28.92</v>
      </c>
    </row>
    <row r="51" spans="1:17" s="9" customFormat="1" hidden="1" outlineLevel="1" x14ac:dyDescent="0.25">
      <c r="A51" s="23"/>
      <c r="B51" s="10" t="str">
        <f>CONCATENATE("          ","5513", " - ","FREIGHT-IN-TRADE BOOKS")</f>
        <v xml:space="preserve">          5513 - FREIGHT-IN-TRADE BOOKS</v>
      </c>
      <c r="C51" s="22"/>
      <c r="D51" s="2"/>
      <c r="E51" s="2"/>
      <c r="F51" s="2"/>
      <c r="G51" s="2"/>
      <c r="H51" s="2">
        <v>26.46</v>
      </c>
      <c r="I51" s="2"/>
      <c r="J51" s="2">
        <v>7.06</v>
      </c>
      <c r="K51" s="2"/>
      <c r="L51" s="2">
        <v>51.76</v>
      </c>
      <c r="M51" s="2"/>
      <c r="N51" s="2"/>
      <c r="O51" s="2"/>
      <c r="Q51" s="2">
        <f>SUM(OSRRefD14_15x)+IFERROR(SUM(OSRRefE14_15x),0)</f>
        <v>85.28</v>
      </c>
    </row>
    <row r="52" spans="1:17" x14ac:dyDescent="0.2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x14ac:dyDescent="0.25">
      <c r="A53" s="6"/>
      <c r="B53" s="17" t="s">
        <v>105</v>
      </c>
      <c r="C53" s="17"/>
      <c r="D53" s="8">
        <f t="shared" ref="D53:O53" si="14">IFERROR(+D10-D35, 0)</f>
        <v>17221.279999999962</v>
      </c>
      <c r="E53" s="8">
        <f t="shared" si="14"/>
        <v>333746.50000000012</v>
      </c>
      <c r="F53" s="8">
        <f t="shared" si="14"/>
        <v>80059.169999999984</v>
      </c>
      <c r="G53" s="8">
        <f t="shared" si="14"/>
        <v>7961.7400000000125</v>
      </c>
      <c r="H53" s="8">
        <f t="shared" si="14"/>
        <v>2001.6599999999689</v>
      </c>
      <c r="I53" s="8">
        <f t="shared" si="14"/>
        <v>8257.9700000000048</v>
      </c>
      <c r="J53" s="8">
        <f t="shared" si="14"/>
        <v>302083.03000000003</v>
      </c>
      <c r="K53" s="8">
        <f t="shared" si="14"/>
        <v>24151.749999999993</v>
      </c>
      <c r="L53" s="8">
        <f t="shared" si="14"/>
        <v>5251.5699999999852</v>
      </c>
      <c r="M53" s="8">
        <f t="shared" si="14"/>
        <v>-5617.3700000000244</v>
      </c>
      <c r="N53" s="8">
        <f t="shared" si="14"/>
        <v>10921.5</v>
      </c>
      <c r="O53" s="8">
        <f t="shared" si="14"/>
        <v>3127.8999999999996</v>
      </c>
      <c r="Q53" s="8">
        <f>IFERROR(+Q10-Q35, 0)</f>
        <v>789166.70000000088</v>
      </c>
    </row>
    <row r="54" spans="1:17" s="6" customFormat="1" x14ac:dyDescent="0.25">
      <c r="B54" s="16"/>
      <c r="C54" s="16"/>
      <c r="D54" s="4">
        <f t="shared" ref="D54:O54" si="15">IFERROR(D53/D10, 0)</f>
        <v>0.35848868075978879</v>
      </c>
      <c r="E54" s="4">
        <f t="shared" si="15"/>
        <v>0.27219979607678463</v>
      </c>
      <c r="F54" s="4">
        <f t="shared" si="15"/>
        <v>0.33726780002348172</v>
      </c>
      <c r="G54" s="4">
        <f t="shared" si="15"/>
        <v>0.23291355646802389</v>
      </c>
      <c r="H54" s="4">
        <f t="shared" si="15"/>
        <v>0.2348222403406755</v>
      </c>
      <c r="I54" s="4">
        <f t="shared" si="15"/>
        <v>0.46596517718647001</v>
      </c>
      <c r="J54" s="4">
        <f t="shared" si="15"/>
        <v>0.3054568466902205</v>
      </c>
      <c r="K54" s="4">
        <f t="shared" si="15"/>
        <v>0.30930816938306649</v>
      </c>
      <c r="L54" s="4">
        <f t="shared" si="15"/>
        <v>0.3502228084940644</v>
      </c>
      <c r="M54" s="4">
        <f t="shared" si="15"/>
        <v>-0.21899113216454888</v>
      </c>
      <c r="N54" s="4">
        <f t="shared" si="15"/>
        <v>0.26806160643063143</v>
      </c>
      <c r="O54" s="4">
        <f t="shared" si="15"/>
        <v>0.2739950420028206</v>
      </c>
      <c r="P54" s="18"/>
      <c r="Q54" s="4">
        <f>IFERROR(Q53/Q10, 0)</f>
        <v>0.2888821171100211</v>
      </c>
    </row>
    <row r="55" spans="1:17" x14ac:dyDescent="0.25">
      <c r="A55" s="5"/>
      <c r="B55" s="6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15" customFormat="1" x14ac:dyDescent="0.25">
      <c r="A56" s="6"/>
      <c r="B56" s="16" t="s">
        <v>254</v>
      </c>
      <c r="C56" s="6"/>
      <c r="D56" s="14">
        <f>SUM(OSRRefD20x_0)</f>
        <v>40144.110000000008</v>
      </c>
      <c r="E56" s="14">
        <f>SUM(OSRRefD20x_1)</f>
        <v>48390.54</v>
      </c>
      <c r="F56" s="14">
        <f>SUM(OSRRefD20x_2)</f>
        <v>39896.36</v>
      </c>
      <c r="G56" s="14">
        <f>SUM(OSRRefD20x_3)</f>
        <v>41286.31</v>
      </c>
      <c r="H56" s="14">
        <f>SUM(OSRRefD20x_4)</f>
        <v>43215.05</v>
      </c>
      <c r="I56" s="14">
        <f>SUM(OSRRefD20x_5)</f>
        <v>51172.139999999992</v>
      </c>
      <c r="J56" s="14">
        <f>SUM(OSRRefD20x_6)</f>
        <v>58886.079999999994</v>
      </c>
      <c r="K56" s="14">
        <f>SUM(OSRRefD20x_7)</f>
        <v>39269.650000000009</v>
      </c>
      <c r="L56" s="14">
        <f>SUM(OSRRefD20x_8)</f>
        <v>47009.950000000004</v>
      </c>
      <c r="M56" s="14">
        <f>SUM(OSRRefD20x_9)</f>
        <v>52574.149999999987</v>
      </c>
      <c r="N56" s="14">
        <f>SUM(OSRRefE20x_0)</f>
        <v>58589.43975573653</v>
      </c>
      <c r="O56" s="14">
        <f>SUM(OSRRefE20x_1)</f>
        <v>59543.047615799034</v>
      </c>
      <c r="Q56" s="14">
        <f>SUM(OSRRefG20x)</f>
        <v>579976.82737153559</v>
      </c>
    </row>
    <row r="57" spans="1:17" s="34" customFormat="1" collapsed="1" x14ac:dyDescent="0.25">
      <c r="A57" s="35"/>
      <c r="B57" s="11" t="str">
        <f>CONCATENATE("     ","*Benefits                                         ")</f>
        <v xml:space="preserve">     *Benefits                                         </v>
      </c>
      <c r="C57" s="11"/>
      <c r="D57" s="1">
        <f>SUM(OSRRefD21_0x_0)</f>
        <v>11154.429999999998</v>
      </c>
      <c r="E57" s="1">
        <f>SUM(OSRRefD21_0x_1)</f>
        <v>10659.73</v>
      </c>
      <c r="F57" s="1">
        <f>SUM(OSRRefD21_0x_2)</f>
        <v>10776.93</v>
      </c>
      <c r="G57" s="1">
        <f>SUM(OSRRefD21_0x_3)</f>
        <v>13021.619999999999</v>
      </c>
      <c r="H57" s="1">
        <f>SUM(OSRRefD21_0x_4)</f>
        <v>11425.13</v>
      </c>
      <c r="I57" s="1">
        <f>SUM(OSRRefD21_0x_5)</f>
        <v>11725.109999999999</v>
      </c>
      <c r="J57" s="1">
        <f>SUM(OSRRefD21_0x_6)</f>
        <v>13034.259999999998</v>
      </c>
      <c r="K57" s="1">
        <f>SUM(OSRRefD21_0x_7)</f>
        <v>11929.13</v>
      </c>
      <c r="L57" s="1">
        <f>SUM(OSRRefD21_0x_8)</f>
        <v>12084.359999999999</v>
      </c>
      <c r="M57" s="1">
        <f>SUM(OSRRefD21_0x_9)</f>
        <v>14359.289999999997</v>
      </c>
      <c r="N57" s="1">
        <f>SUM(OSRRefE21_0x_0)</f>
        <v>12431.395112044229</v>
      </c>
      <c r="O57" s="1">
        <f>SUM(OSRRefE21_0x_1)</f>
        <v>12707.824222106728</v>
      </c>
      <c r="Q57" s="2">
        <f>SUM(OSRRefD20_0x)+IFERROR(SUM(OSRRefE20_0x),0)</f>
        <v>145309.20933415095</v>
      </c>
    </row>
    <row r="58" spans="1:17" s="34" customFormat="1" hidden="1" outlineLevel="1" x14ac:dyDescent="0.25">
      <c r="A58" s="35"/>
      <c r="B58" s="10" t="str">
        <f>CONCATENATE("          ","6111", " - ","F.I.C.A.")</f>
        <v xml:space="preserve">          6111 - F.I.C.A.</v>
      </c>
      <c r="C58" s="11"/>
      <c r="D58" s="2">
        <v>1802.45</v>
      </c>
      <c r="E58" s="2">
        <v>2291.5500000000002</v>
      </c>
      <c r="F58" s="2">
        <v>2005.88</v>
      </c>
      <c r="G58" s="2">
        <v>3122.76</v>
      </c>
      <c r="H58" s="2">
        <v>1724.83</v>
      </c>
      <c r="I58" s="2">
        <v>1995.53</v>
      </c>
      <c r="J58" s="2">
        <v>2182.61</v>
      </c>
      <c r="K58" s="2">
        <v>1875.59</v>
      </c>
      <c r="L58" s="2">
        <v>1910.57</v>
      </c>
      <c r="M58" s="2">
        <v>2997.29</v>
      </c>
      <c r="N58" s="2">
        <v>1922.7706410634601</v>
      </c>
      <c r="O58" s="2">
        <v>2156.9309170009601</v>
      </c>
      <c r="P58" s="9"/>
      <c r="Q58" s="2">
        <f>SUM(OSRRefD21_0_0x)+IFERROR(SUM(OSRRefE21_0_0x),0)</f>
        <v>25988.76155806442</v>
      </c>
    </row>
    <row r="59" spans="1:17" s="34" customFormat="1" hidden="1" outlineLevel="1" x14ac:dyDescent="0.25">
      <c r="A59" s="35"/>
      <c r="B59" s="10" t="str">
        <f>CONCATENATE("          ","6112", " - ","COMPENSATION INSURANCE")</f>
        <v xml:space="preserve">          6112 - COMPENSATION INSURANCE</v>
      </c>
      <c r="C59" s="11"/>
      <c r="D59" s="2">
        <v>147.41999999999999</v>
      </c>
      <c r="E59" s="2">
        <v>190.93</v>
      </c>
      <c r="F59" s="2">
        <v>94.94</v>
      </c>
      <c r="G59" s="2">
        <v>89.88</v>
      </c>
      <c r="H59" s="2">
        <v>144.18</v>
      </c>
      <c r="I59" s="2">
        <v>314.69</v>
      </c>
      <c r="J59" s="2">
        <v>-125.07</v>
      </c>
      <c r="K59" s="2">
        <v>86.99</v>
      </c>
      <c r="L59" s="2">
        <v>103.76</v>
      </c>
      <c r="M59" s="2">
        <v>137.72</v>
      </c>
      <c r="N59" s="2">
        <v>542.568074711539</v>
      </c>
      <c r="O59" s="2">
        <v>557.87088158653899</v>
      </c>
      <c r="P59" s="9"/>
      <c r="Q59" s="2">
        <f>SUM(OSRRefD21_0_1x)+IFERROR(SUM(OSRRefE21_0_1x),0)</f>
        <v>2285.8789562980783</v>
      </c>
    </row>
    <row r="60" spans="1:17" s="34" customFormat="1" hidden="1" outlineLevel="1" x14ac:dyDescent="0.25">
      <c r="A60" s="35"/>
      <c r="B60" s="10" t="str">
        <f>CONCATENATE("          ","6113", " - ","GROUP INSURANCE")</f>
        <v xml:space="preserve">          6113 - GROUP INSURANCE</v>
      </c>
      <c r="C60" s="11"/>
      <c r="D60" s="2">
        <v>4248.21</v>
      </c>
      <c r="E60" s="2">
        <v>4114</v>
      </c>
      <c r="F60" s="2">
        <v>4248.21</v>
      </c>
      <c r="G60" s="2">
        <v>4248.21</v>
      </c>
      <c r="H60" s="2">
        <v>4248.21</v>
      </c>
      <c r="I60" s="2">
        <v>4281.38</v>
      </c>
      <c r="J60" s="2">
        <v>4943.91</v>
      </c>
      <c r="K60" s="2">
        <v>4943.91</v>
      </c>
      <c r="L60" s="2">
        <v>4943.91</v>
      </c>
      <c r="M60" s="2">
        <v>4943.91</v>
      </c>
      <c r="N60" s="2">
        <v>4662.6923076923104</v>
      </c>
      <c r="O60" s="2">
        <v>4662.6923076923104</v>
      </c>
      <c r="P60" s="9"/>
      <c r="Q60" s="2">
        <f>SUM(OSRRefD21_0_2x)+IFERROR(SUM(OSRRefE21_0_2x),0)</f>
        <v>54489.244615384625</v>
      </c>
    </row>
    <row r="61" spans="1:17" s="34" customFormat="1" hidden="1" outlineLevel="1" x14ac:dyDescent="0.25">
      <c r="A61" s="35"/>
      <c r="B61" s="10" t="str">
        <f>CONCATENATE("          ","6114", " - ","STATE UNEMPLOYMENT INSURANCE")</f>
        <v xml:space="preserve">          6114 - STATE UNEMPLOYMENT INSURANCE</v>
      </c>
      <c r="C61" s="11"/>
      <c r="D61" s="2">
        <v>61.43</v>
      </c>
      <c r="E61" s="2">
        <v>71.989999999999995</v>
      </c>
      <c r="F61" s="2">
        <v>74.8</v>
      </c>
      <c r="G61" s="2">
        <v>60.94</v>
      </c>
      <c r="H61" s="2">
        <v>113.59</v>
      </c>
      <c r="I61" s="2"/>
      <c r="J61" s="2">
        <v>149.4</v>
      </c>
      <c r="K61" s="2">
        <v>68.540000000000006</v>
      </c>
      <c r="L61" s="2">
        <v>70.17</v>
      </c>
      <c r="M61" s="2">
        <v>91.65</v>
      </c>
      <c r="N61" s="2">
        <v>76.252810499999995</v>
      </c>
      <c r="O61" s="2">
        <v>78.40347525</v>
      </c>
      <c r="P61" s="9"/>
      <c r="Q61" s="2">
        <f>SUM(OSRRefD21_0_3x)+IFERROR(SUM(OSRRefE21_0_3x),0)</f>
        <v>917.16628574999982</v>
      </c>
    </row>
    <row r="62" spans="1:17" s="34" customFormat="1" hidden="1" outlineLevel="1" x14ac:dyDescent="0.25">
      <c r="A62" s="35"/>
      <c r="B62" s="10" t="str">
        <f>CONCATENATE("          ","6115", " - ","P.E.R.S.")</f>
        <v xml:space="preserve">          6115 - P.E.R.S.</v>
      </c>
      <c r="C62" s="11"/>
      <c r="D62" s="2">
        <v>2220.3200000000002</v>
      </c>
      <c r="E62" s="2">
        <v>1480.2</v>
      </c>
      <c r="F62" s="2">
        <v>1480.2</v>
      </c>
      <c r="G62" s="2">
        <v>1480.2</v>
      </c>
      <c r="H62" s="2">
        <v>2042.1</v>
      </c>
      <c r="I62" s="2">
        <v>1783.22</v>
      </c>
      <c r="J62" s="2">
        <v>2689.05</v>
      </c>
      <c r="K62" s="2">
        <v>1783.22</v>
      </c>
      <c r="L62" s="2">
        <v>1783.22</v>
      </c>
      <c r="M62" s="2">
        <v>1722.62</v>
      </c>
      <c r="N62" s="2">
        <v>1605.65797230769</v>
      </c>
      <c r="O62" s="2">
        <v>1605.65797230769</v>
      </c>
      <c r="P62" s="9"/>
      <c r="Q62" s="2">
        <f>SUM(OSRRefD21_0_4x)+IFERROR(SUM(OSRRefE21_0_4x),0)</f>
        <v>21675.665944615379</v>
      </c>
    </row>
    <row r="63" spans="1:17" s="34" customFormat="1" hidden="1" outlineLevel="1" x14ac:dyDescent="0.25">
      <c r="A63" s="35"/>
      <c r="B63" s="10" t="str">
        <f>CONCATENATE("          ","6116", " - ","EDUCATIONAL BENEFITS")</f>
        <v xml:space="preserve">          6116 - EDUCATIONAL BENEFITS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0</v>
      </c>
      <c r="O63" s="2">
        <v>0</v>
      </c>
      <c r="P63" s="9"/>
      <c r="Q63" s="2">
        <f>SUM(OSRRefD21_0_5x)+IFERROR(SUM(OSRRefE21_0_5x),0)</f>
        <v>0</v>
      </c>
    </row>
    <row r="64" spans="1:17" s="34" customFormat="1" hidden="1" outlineLevel="1" x14ac:dyDescent="0.25">
      <c r="A64" s="35"/>
      <c r="B64" s="10" t="str">
        <f>CONCATENATE("          ","6117", " - ","RETIREMENT STAFF HOURLY")</f>
        <v xml:space="preserve">          6117 - RETIREMENT STAFF HOURLY</v>
      </c>
      <c r="C64" s="11"/>
      <c r="D64" s="2">
        <v>333.14</v>
      </c>
      <c r="E64" s="2">
        <v>255.65</v>
      </c>
      <c r="F64" s="2">
        <v>248.98</v>
      </c>
      <c r="G64" s="2">
        <v>222.97</v>
      </c>
      <c r="H64" s="2">
        <v>232.91</v>
      </c>
      <c r="I64" s="2">
        <v>250.51</v>
      </c>
      <c r="J64" s="2">
        <v>297.92</v>
      </c>
      <c r="K64" s="2">
        <v>298.89999999999998</v>
      </c>
      <c r="L64" s="2">
        <v>368.6</v>
      </c>
      <c r="M64" s="2">
        <v>246.24</v>
      </c>
      <c r="N64" s="2"/>
      <c r="O64" s="2"/>
      <c r="P64" s="9"/>
      <c r="Q64" s="2">
        <f>SUM(OSRRefD21_0_6x)+IFERROR(SUM(OSRRefE21_0_6x),0)</f>
        <v>2755.8199999999997</v>
      </c>
    </row>
    <row r="65" spans="1:17" s="34" customFormat="1" hidden="1" outlineLevel="1" x14ac:dyDescent="0.25">
      <c r="A65" s="35"/>
      <c r="B65" s="10" t="str">
        <f>CONCATENATE("          ","6118", " - ","VACATION")</f>
        <v xml:space="preserve">          6118 - VACATION</v>
      </c>
      <c r="C65" s="11"/>
      <c r="D65" s="2">
        <v>967.81</v>
      </c>
      <c r="E65" s="2">
        <v>942.5</v>
      </c>
      <c r="F65" s="2">
        <v>1121.07</v>
      </c>
      <c r="G65" s="2">
        <v>1853.32</v>
      </c>
      <c r="H65" s="2">
        <v>1278.1500000000001</v>
      </c>
      <c r="I65" s="2">
        <v>1613.8</v>
      </c>
      <c r="J65" s="2">
        <v>1526.05</v>
      </c>
      <c r="K65" s="2">
        <v>1386.96</v>
      </c>
      <c r="L65" s="2">
        <v>1345.02</v>
      </c>
      <c r="M65" s="2">
        <v>2466.27</v>
      </c>
      <c r="N65" s="2">
        <v>1601.0077200000001</v>
      </c>
      <c r="O65" s="2">
        <v>1601.0077200000001</v>
      </c>
      <c r="P65" s="9"/>
      <c r="Q65" s="2">
        <f>SUM(OSRRefD21_0_7x)+IFERROR(SUM(OSRRefE21_0_7x),0)</f>
        <v>17702.96544</v>
      </c>
    </row>
    <row r="66" spans="1:17" s="34" customFormat="1" hidden="1" outlineLevel="1" x14ac:dyDescent="0.25">
      <c r="A66" s="35"/>
      <c r="B66" s="10" t="str">
        <f>CONCATENATE("          ","6119", " - ","SICK LEAVE")</f>
        <v xml:space="preserve">          6119 - SICK LEAVE</v>
      </c>
      <c r="C66" s="11"/>
      <c r="D66" s="2">
        <v>944.6</v>
      </c>
      <c r="E66" s="2">
        <v>944.6</v>
      </c>
      <c r="F66" s="2">
        <v>944.6</v>
      </c>
      <c r="G66" s="2">
        <v>1416.9</v>
      </c>
      <c r="H66" s="2">
        <v>1046.08</v>
      </c>
      <c r="I66" s="2">
        <v>1147.56</v>
      </c>
      <c r="J66" s="2">
        <v>1147.56</v>
      </c>
      <c r="K66" s="2">
        <v>1147.56</v>
      </c>
      <c r="L66" s="2">
        <v>1147.56</v>
      </c>
      <c r="M66" s="2">
        <v>1289.8800000000001</v>
      </c>
      <c r="N66" s="2">
        <v>1270.4455857692301</v>
      </c>
      <c r="O66" s="2">
        <v>1295.2609482692301</v>
      </c>
      <c r="P66" s="9"/>
      <c r="Q66" s="2">
        <f>SUM(OSRRefD21_0_8x)+IFERROR(SUM(OSRRefE21_0_8x),0)</f>
        <v>13742.606534038458</v>
      </c>
    </row>
    <row r="67" spans="1:17" s="34" customFormat="1" hidden="1" outlineLevel="1" x14ac:dyDescent="0.25">
      <c r="A67" s="35"/>
      <c r="B67" s="10" t="str">
        <f>CONCATENATE("          ","6156", " - ","EMPLOYEE MEALS")</f>
        <v xml:space="preserve">          6156 - EMPLOYEE MEALS</v>
      </c>
      <c r="C67" s="11"/>
      <c r="D67" s="2">
        <v>429.05</v>
      </c>
      <c r="E67" s="2">
        <v>368.31</v>
      </c>
      <c r="F67" s="2">
        <v>558.25</v>
      </c>
      <c r="G67" s="2">
        <v>526.44000000000005</v>
      </c>
      <c r="H67" s="2">
        <v>595.08000000000004</v>
      </c>
      <c r="I67" s="2">
        <v>338.42</v>
      </c>
      <c r="J67" s="2">
        <v>222.83</v>
      </c>
      <c r="K67" s="2">
        <v>337.46</v>
      </c>
      <c r="L67" s="2">
        <v>411.55</v>
      </c>
      <c r="M67" s="2">
        <v>463.71</v>
      </c>
      <c r="N67" s="2">
        <v>750</v>
      </c>
      <c r="O67" s="2">
        <v>750</v>
      </c>
      <c r="P67" s="9"/>
      <c r="Q67" s="2">
        <f>SUM(OSRRefD21_0_9x)+IFERROR(SUM(OSRRefE21_0_9x),0)</f>
        <v>5751.1</v>
      </c>
    </row>
    <row r="68" spans="1:17" s="34" customFormat="1" collapsed="1" x14ac:dyDescent="0.25">
      <c r="A68" s="35"/>
      <c r="B68" s="11" t="str">
        <f>CONCATENATE("     ","*Payroll                                          ")</f>
        <v xml:space="preserve">     *Payroll                                          </v>
      </c>
      <c r="C68" s="11"/>
      <c r="D68" s="1">
        <f>SUM(OSRRefD21_1x_0)</f>
        <v>29301.230000000003</v>
      </c>
      <c r="E68" s="1">
        <f>SUM(OSRRefD21_1x_1)</f>
        <v>35256.06</v>
      </c>
      <c r="F68" s="1">
        <f>SUM(OSRRefD21_1x_2)</f>
        <v>25117.03</v>
      </c>
      <c r="G68" s="1">
        <f>SUM(OSRRefD21_1x_3)</f>
        <v>26770.510000000002</v>
      </c>
      <c r="H68" s="1">
        <f>SUM(OSRRefD21_1x_4)</f>
        <v>20893.93</v>
      </c>
      <c r="I68" s="1">
        <f>SUM(OSRRefD21_1x_5)</f>
        <v>28068.31</v>
      </c>
      <c r="J68" s="1">
        <f>SUM(OSRRefD21_1x_6)</f>
        <v>38361.300000000003</v>
      </c>
      <c r="K68" s="1">
        <f>SUM(OSRRefD21_1x_7)</f>
        <v>23630.000000000004</v>
      </c>
      <c r="L68" s="1">
        <f>SUM(OSRRefD21_1x_8)</f>
        <v>25735.149999999998</v>
      </c>
      <c r="M68" s="1">
        <f>SUM(OSRRefD21_1x_9)</f>
        <v>29075.89</v>
      </c>
      <c r="N68" s="1">
        <f>SUM(OSRRefE21_1x_0)</f>
        <v>26793.044643692301</v>
      </c>
      <c r="O68" s="1">
        <f>SUM(OSRRefE21_1x_1)</f>
        <v>27620.223393692304</v>
      </c>
      <c r="Q68" s="2">
        <f>SUM(OSRRefD20_1x)+IFERROR(SUM(OSRRefE20_1x),0)</f>
        <v>336622.67803738458</v>
      </c>
    </row>
    <row r="69" spans="1:17" s="34" customFormat="1" hidden="1" outlineLevel="1" x14ac:dyDescent="0.25">
      <c r="A69" s="35"/>
      <c r="B69" s="10" t="str">
        <f>CONCATENATE("          ","6001", " - ","ADMINISTRATIVE SALARIES")</f>
        <v xml:space="preserve">          6001 - ADMINISTRATIVE SALARIES</v>
      </c>
      <c r="C69" s="11"/>
      <c r="D69" s="2">
        <v>-311.32</v>
      </c>
      <c r="E69" s="2"/>
      <c r="F69" s="2"/>
      <c r="G69" s="2"/>
      <c r="H69" s="2"/>
      <c r="I69" s="2"/>
      <c r="J69" s="2"/>
      <c r="K69" s="2"/>
      <c r="L69" s="2"/>
      <c r="M69" s="2"/>
      <c r="N69" s="2">
        <v>0</v>
      </c>
      <c r="O69" s="2">
        <v>0</v>
      </c>
      <c r="P69" s="9"/>
      <c r="Q69" s="2">
        <f>SUM(OSRRefD21_1_0x)+IFERROR(SUM(OSRRefE21_1_0x),0)</f>
        <v>-311.32</v>
      </c>
    </row>
    <row r="70" spans="1:17" s="34" customFormat="1" hidden="1" outlineLevel="1" x14ac:dyDescent="0.25">
      <c r="A70" s="35"/>
      <c r="B70" s="10" t="str">
        <f>CONCATENATE("          ","6002", " - ","STAFF SALARIES")</f>
        <v xml:space="preserve">          6002 - STAFF SALARIES</v>
      </c>
      <c r="C70" s="11"/>
      <c r="D70" s="2">
        <v>18429.759999999998</v>
      </c>
      <c r="E70" s="2">
        <v>14705.64</v>
      </c>
      <c r="F70" s="2">
        <v>14307.52</v>
      </c>
      <c r="G70" s="2">
        <v>16701.23</v>
      </c>
      <c r="H70" s="2">
        <v>14271.35</v>
      </c>
      <c r="I70" s="2">
        <v>18082.7</v>
      </c>
      <c r="J70" s="2">
        <v>24862.47</v>
      </c>
      <c r="K70" s="2">
        <v>16765.57</v>
      </c>
      <c r="L70" s="2">
        <v>16589.439999999999</v>
      </c>
      <c r="M70" s="2">
        <v>19208.37</v>
      </c>
      <c r="N70" s="2">
        <v>16592.132063692301</v>
      </c>
      <c r="O70" s="2">
        <v>16592.132063692301</v>
      </c>
      <c r="P70" s="9"/>
      <c r="Q70" s="2">
        <f>SUM(OSRRefD21_1_1x)+IFERROR(SUM(OSRRefE21_1_1x),0)</f>
        <v>207108.3141273846</v>
      </c>
    </row>
    <row r="71" spans="1:17" s="34" customFormat="1" hidden="1" outlineLevel="1" x14ac:dyDescent="0.25">
      <c r="A71" s="35"/>
      <c r="B71" s="10" t="str">
        <f>CONCATENATE("          ","6003", " - ","STAFF HOURLY-9 MONTH")</f>
        <v xml:space="preserve">          6003 - STAFF HOURLY-9 MONTH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SUM(OSRRefD21_1_2x)+IFERROR(SUM(OSRRefE21_1_2x),0)</f>
        <v>0</v>
      </c>
    </row>
    <row r="72" spans="1:17" s="34" customFormat="1" hidden="1" outlineLevel="1" x14ac:dyDescent="0.25">
      <c r="A72" s="35"/>
      <c r="B72" s="10" t="str">
        <f>CONCATENATE("          ","6004", " - ","STAFF HOURLY")</f>
        <v xml:space="preserve">          6004 - STAFF HOURLY</v>
      </c>
      <c r="C72" s="11"/>
      <c r="D72" s="2">
        <v>5507.97</v>
      </c>
      <c r="E72" s="2">
        <v>6665.13</v>
      </c>
      <c r="F72" s="2">
        <v>6404.63</v>
      </c>
      <c r="G72" s="2">
        <v>8733.7900000000009</v>
      </c>
      <c r="H72" s="2">
        <v>5370.49</v>
      </c>
      <c r="I72" s="2">
        <v>7156.04</v>
      </c>
      <c r="J72" s="2">
        <v>8056.36</v>
      </c>
      <c r="K72" s="2">
        <v>6038.31</v>
      </c>
      <c r="L72" s="2">
        <v>5806.54</v>
      </c>
      <c r="M72" s="2">
        <v>8559.48</v>
      </c>
      <c r="N72" s="2">
        <v>5285.7500799999998</v>
      </c>
      <c r="O72" s="2">
        <v>5285.7500799999998</v>
      </c>
      <c r="P72" s="9"/>
      <c r="Q72" s="2">
        <f>SUM(OSRRefD21_1_3x)+IFERROR(SUM(OSRRefE21_1_3x),0)</f>
        <v>78870.240160000001</v>
      </c>
    </row>
    <row r="73" spans="1:17" s="34" customFormat="1" hidden="1" outlineLevel="1" x14ac:dyDescent="0.25">
      <c r="A73" s="35"/>
      <c r="B73" s="10" t="str">
        <f>CONCATENATE("          ","6005", " - ","TEMPORARY WAGES-HOURLY")</f>
        <v xml:space="preserve">          6005 - TEMPORARY WAGES-HOURLY</v>
      </c>
      <c r="C73" s="11"/>
      <c r="D73" s="2">
        <v>1986.02</v>
      </c>
      <c r="E73" s="2">
        <v>3708.03</v>
      </c>
      <c r="F73" s="2">
        <v>5645.28</v>
      </c>
      <c r="G73" s="2">
        <v>1498.67</v>
      </c>
      <c r="H73" s="2"/>
      <c r="I73" s="2"/>
      <c r="J73" s="2"/>
      <c r="K73" s="2"/>
      <c r="L73" s="2">
        <v>478.89</v>
      </c>
      <c r="M73" s="2">
        <v>2368.27</v>
      </c>
      <c r="N73" s="2">
        <v>1926.6</v>
      </c>
      <c r="O73" s="2">
        <v>1971.06</v>
      </c>
      <c r="P73" s="9"/>
      <c r="Q73" s="2">
        <f>SUM(OSRRefD21_1_4x)+IFERROR(SUM(OSRRefE21_1_4x),0)</f>
        <v>19582.82</v>
      </c>
    </row>
    <row r="74" spans="1:17" s="34" customFormat="1" hidden="1" outlineLevel="1" x14ac:dyDescent="0.25">
      <c r="A74" s="35"/>
      <c r="B74" s="10" t="str">
        <f>CONCATENATE("          ","6006", " - ","TEMPORARY PART TIME")</f>
        <v xml:space="preserve">          6006 - TEMPORARY PART TIME</v>
      </c>
      <c r="C74" s="11"/>
      <c r="D74" s="2">
        <v>502.29</v>
      </c>
      <c r="E74" s="2"/>
      <c r="F74" s="2"/>
      <c r="G74" s="2"/>
      <c r="H74" s="2"/>
      <c r="I74" s="2"/>
      <c r="J74" s="2"/>
      <c r="K74" s="2"/>
      <c r="L74" s="2"/>
      <c r="M74" s="2"/>
      <c r="N74" s="2">
        <v>0</v>
      </c>
      <c r="O74" s="2">
        <v>0</v>
      </c>
      <c r="P74" s="9"/>
      <c r="Q74" s="2">
        <f>SUM(OSRRefD21_1_5x)+IFERROR(SUM(OSRRefE21_1_5x),0)</f>
        <v>502.29</v>
      </c>
    </row>
    <row r="75" spans="1:17" s="34" customFormat="1" hidden="1" outlineLevel="1" x14ac:dyDescent="0.25">
      <c r="A75" s="35"/>
      <c r="B75" s="10" t="str">
        <f>CONCATENATE("          ","6007", " - ","STUDENT HOURLY")</f>
        <v xml:space="preserve">          6007 - STUDENT HOURLY</v>
      </c>
      <c r="C75" s="11"/>
      <c r="D75" s="2">
        <v>3186.51</v>
      </c>
      <c r="E75" s="2">
        <v>10177.26</v>
      </c>
      <c r="F75" s="2">
        <v>-1240.4000000000001</v>
      </c>
      <c r="G75" s="2">
        <v>-163.18</v>
      </c>
      <c r="H75" s="2">
        <v>1252.0899999999999</v>
      </c>
      <c r="I75" s="2">
        <v>2829.57</v>
      </c>
      <c r="J75" s="2">
        <v>4760.1099999999997</v>
      </c>
      <c r="K75" s="2">
        <v>541.22</v>
      </c>
      <c r="L75" s="2">
        <v>2860.28</v>
      </c>
      <c r="M75" s="2">
        <v>-1060.23</v>
      </c>
      <c r="N75" s="2">
        <v>711.5625</v>
      </c>
      <c r="O75" s="2">
        <v>3771.28125</v>
      </c>
      <c r="P75" s="9"/>
      <c r="Q75" s="2">
        <f>SUM(OSRRefD21_1_6x)+IFERROR(SUM(OSRRefE21_1_6x),0)</f>
        <v>27626.07375</v>
      </c>
    </row>
    <row r="76" spans="1:17" s="34" customFormat="1" hidden="1" outlineLevel="1" x14ac:dyDescent="0.25">
      <c r="A76" s="35"/>
      <c r="B76" s="10" t="str">
        <f>CONCATENATE("          ","6008", " - ","STUDENT HOURLY-FICA EXEMPT")</f>
        <v xml:space="preserve">          6008 - STUDENT HOURLY-FICA EXEMPT</v>
      </c>
      <c r="C76" s="11"/>
      <c r="D76" s="2"/>
      <c r="E76" s="2"/>
      <c r="F76" s="2"/>
      <c r="G76" s="2"/>
      <c r="H76" s="2"/>
      <c r="I76" s="2"/>
      <c r="J76" s="2">
        <v>682.36</v>
      </c>
      <c r="K76" s="2">
        <v>284.89999999999998</v>
      </c>
      <c r="L76" s="2"/>
      <c r="M76" s="2"/>
      <c r="N76" s="2">
        <v>2277</v>
      </c>
      <c r="O76" s="2">
        <v>0</v>
      </c>
      <c r="P76" s="9"/>
      <c r="Q76" s="2">
        <f>SUM(OSRRefD21_1_7x)+IFERROR(SUM(OSRRefE21_1_7x),0)</f>
        <v>3244.26</v>
      </c>
    </row>
    <row r="77" spans="1:17" s="34" customFormat="1" hidden="1" outlineLevel="1" x14ac:dyDescent="0.25">
      <c r="A77" s="35"/>
      <c r="B77" s="10" t="str">
        <f>CONCATENATE("          ","6009", " - ","TEMPORARY-SEASONAL")</f>
        <v xml:space="preserve">          6009 - TEMPORARY-SEASONAL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0</v>
      </c>
      <c r="O77" s="2">
        <v>0</v>
      </c>
      <c r="P77" s="9"/>
      <c r="Q77" s="2">
        <f>SUM(OSRRefD21_1_8x)+IFERROR(SUM(OSRRefE21_1_8x),0)</f>
        <v>0</v>
      </c>
    </row>
    <row r="78" spans="1:17" s="34" customFormat="1" hidden="1" outlineLevel="1" x14ac:dyDescent="0.25">
      <c r="A78" s="35"/>
      <c r="B78" s="10" t="str">
        <f>CONCATENATE("          ","6010", " - ","GRATUITY")</f>
        <v xml:space="preserve">          6010 - GRATUITY</v>
      </c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>
        <v>0</v>
      </c>
      <c r="O78" s="2">
        <v>0</v>
      </c>
      <c r="P78" s="9"/>
      <c r="Q78" s="2">
        <f>SUM(OSRRefD21_1_9x)+IFERROR(SUM(OSRRefE21_1_9x),0)</f>
        <v>0</v>
      </c>
    </row>
    <row r="79" spans="1:17" s="34" customFormat="1" collapsed="1" x14ac:dyDescent="0.25">
      <c r="A79" s="35"/>
      <c r="B79" s="11" t="str">
        <f>CONCATENATE("     ","Advertising/Promo                                 ")</f>
        <v xml:space="preserve">     Advertising/Promo                                 </v>
      </c>
      <c r="C79" s="11"/>
      <c r="D79" s="1">
        <f>SUM(OSRRefD21_2x_0)</f>
        <v>1249.9000000000001</v>
      </c>
      <c r="E79" s="1">
        <f>SUM(OSRRefD21_2x_1)</f>
        <v>109.98</v>
      </c>
      <c r="F79" s="1">
        <f>SUM(OSRRefD21_2x_2)</f>
        <v>0</v>
      </c>
      <c r="G79" s="1">
        <f>SUM(OSRRefD21_2x_3)</f>
        <v>0</v>
      </c>
      <c r="H79" s="1">
        <f>SUM(OSRRefD21_2x_4)</f>
        <v>0</v>
      </c>
      <c r="I79" s="1">
        <f>SUM(OSRRefD21_2x_5)</f>
        <v>70.56</v>
      </c>
      <c r="J79" s="1">
        <f>SUM(OSRRefD21_2x_6)</f>
        <v>569.11</v>
      </c>
      <c r="K79" s="1">
        <f>SUM(OSRRefD21_2x_7)</f>
        <v>0</v>
      </c>
      <c r="L79" s="1">
        <f>SUM(OSRRefD21_2x_8)</f>
        <v>30.83</v>
      </c>
      <c r="M79" s="1">
        <f>SUM(OSRRefD21_2x_9)</f>
        <v>2.21</v>
      </c>
      <c r="N79" s="1">
        <f>SUM(OSRRefE21_2x_0)</f>
        <v>500</v>
      </c>
      <c r="O79" s="1">
        <f>SUM(OSRRefE21_2x_1)</f>
        <v>100</v>
      </c>
      <c r="Q79" s="2">
        <f>SUM(OSRRefD20_2x)+IFERROR(SUM(OSRRefE20_2x),0)</f>
        <v>2632.59</v>
      </c>
    </row>
    <row r="80" spans="1:17" s="34" customFormat="1" hidden="1" outlineLevel="1" x14ac:dyDescent="0.25">
      <c r="A80" s="35"/>
      <c r="B80" s="10" t="str">
        <f>CONCATENATE("          ","6362", " - ","ADVERTISING EXPENSE")</f>
        <v xml:space="preserve">          6362 - ADVERTISING EXPENSE</v>
      </c>
      <c r="C80" s="11"/>
      <c r="D80" s="2">
        <v>1249.9000000000001</v>
      </c>
      <c r="E80" s="2">
        <v>109.98</v>
      </c>
      <c r="F80" s="2"/>
      <c r="G80" s="2"/>
      <c r="H80" s="2"/>
      <c r="I80" s="2">
        <v>70.56</v>
      </c>
      <c r="J80" s="2">
        <v>569.11</v>
      </c>
      <c r="K80" s="2"/>
      <c r="L80" s="2">
        <v>30.83</v>
      </c>
      <c r="M80" s="2">
        <v>2.21</v>
      </c>
      <c r="N80" s="2">
        <v>500</v>
      </c>
      <c r="O80" s="2">
        <v>100</v>
      </c>
      <c r="P80" s="9"/>
      <c r="Q80" s="2">
        <f>SUM(OSRRefD21_2_0x)+IFERROR(SUM(OSRRefE21_2_0x),0)</f>
        <v>2632.59</v>
      </c>
    </row>
    <row r="81" spans="1:17" s="34" customFormat="1" collapsed="1" x14ac:dyDescent="0.25">
      <c r="A81" s="35"/>
      <c r="B81" s="11" t="str">
        <f>CONCATENATE("     ","Discounts and Markdowns                           ")</f>
        <v xml:space="preserve">     Discounts and Markdowns                           </v>
      </c>
      <c r="C81" s="11"/>
      <c r="D81" s="1">
        <f>SUM(OSRRefD21_3x_0)</f>
        <v>0</v>
      </c>
      <c r="E81" s="1">
        <f>SUM(OSRRefD21_3x_1)</f>
        <v>0</v>
      </c>
      <c r="F81" s="1">
        <f>SUM(OSRRefD21_3x_2)</f>
        <v>0</v>
      </c>
      <c r="G81" s="1">
        <f>SUM(OSRRefD21_3x_3)</f>
        <v>0</v>
      </c>
      <c r="H81" s="1">
        <f>SUM(OSRRefD21_3x_4)</f>
        <v>0</v>
      </c>
      <c r="I81" s="1">
        <f>SUM(OSRRefD21_3x_5)</f>
        <v>0</v>
      </c>
      <c r="J81" s="1">
        <f>SUM(OSRRefD21_3x_6)</f>
        <v>-42.86</v>
      </c>
      <c r="K81" s="1">
        <f>SUM(OSRRefD21_3x_7)</f>
        <v>42.86</v>
      </c>
      <c r="L81" s="1">
        <f>SUM(OSRRefD21_3x_8)</f>
        <v>0</v>
      </c>
      <c r="M81" s="1">
        <f>SUM(OSRRefD21_3x_9)</f>
        <v>0</v>
      </c>
      <c r="N81" s="1">
        <f>SUM(OSRRefE21_3x_0)</f>
        <v>1200</v>
      </c>
      <c r="O81" s="1">
        <f>SUM(OSRRefE21_3x_1)</f>
        <v>1200</v>
      </c>
      <c r="Q81" s="2">
        <f>SUM(OSRRefD20_3x)+IFERROR(SUM(OSRRefE20_3x),0)</f>
        <v>2400</v>
      </c>
    </row>
    <row r="82" spans="1:17" s="34" customFormat="1" hidden="1" outlineLevel="1" x14ac:dyDescent="0.25">
      <c r="A82" s="35"/>
      <c r="B82" s="10" t="str">
        <f>CONCATENATE("          ","6382", " - ","DISCOUNTS/MARK DOWNS")</f>
        <v xml:space="preserve">          6382 - DISCOUNTS/MARK DOWNS</v>
      </c>
      <c r="C82" s="11"/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1200</v>
      </c>
      <c r="O82" s="2">
        <v>1200</v>
      </c>
      <c r="P82" s="9"/>
      <c r="Q82" s="2">
        <f>SUM(OSRRefD21_3_0x)+IFERROR(SUM(OSRRefE21_3_0x),0)</f>
        <v>2400</v>
      </c>
    </row>
    <row r="83" spans="1:17" s="34" customFormat="1" hidden="1" outlineLevel="1" x14ac:dyDescent="0.25">
      <c r="A83" s="35"/>
      <c r="B83" s="10" t="str">
        <f>CONCATENATE("          ","9175", " - ","EARNED DISCOUNTS")</f>
        <v xml:space="preserve">          9175 - EARNED DISCOUNTS</v>
      </c>
      <c r="C83" s="11"/>
      <c r="D83" s="2"/>
      <c r="E83" s="2"/>
      <c r="F83" s="2"/>
      <c r="G83" s="2"/>
      <c r="H83" s="2"/>
      <c r="I83" s="2"/>
      <c r="J83" s="2">
        <v>-42.86</v>
      </c>
      <c r="K83" s="2">
        <v>42.86</v>
      </c>
      <c r="L83" s="2"/>
      <c r="M83" s="2"/>
      <c r="N83" s="2"/>
      <c r="O83" s="2"/>
      <c r="P83" s="9"/>
      <c r="Q83" s="2">
        <f>SUM(OSRRefD21_3_1x)+IFERROR(SUM(OSRRefE21_3_1x),0)</f>
        <v>0</v>
      </c>
    </row>
    <row r="84" spans="1:17" s="34" customFormat="1" collapsed="1" x14ac:dyDescent="0.25">
      <c r="A84" s="35"/>
      <c r="B84" s="11" t="str">
        <f>CONCATENATE("     ","Employees' Appreciation                           ")</f>
        <v xml:space="preserve">     Employees' Appreciation                           </v>
      </c>
      <c r="C84" s="11"/>
      <c r="D84" s="1">
        <f>SUM(OSRRefD21_4x_0)</f>
        <v>107.7</v>
      </c>
      <c r="E84" s="1">
        <f>SUM(OSRRefD21_4x_1)</f>
        <v>0</v>
      </c>
      <c r="F84" s="1">
        <f>SUM(OSRRefD21_4x_2)</f>
        <v>0</v>
      </c>
      <c r="G84" s="1">
        <f>SUM(OSRRefD21_4x_3)</f>
        <v>0</v>
      </c>
      <c r="H84" s="1">
        <f>SUM(OSRRefD21_4x_4)</f>
        <v>0</v>
      </c>
      <c r="I84" s="1">
        <f>SUM(OSRRefD21_4x_5)</f>
        <v>0</v>
      </c>
      <c r="J84" s="1">
        <f>SUM(OSRRefD21_4x_6)</f>
        <v>0</v>
      </c>
      <c r="K84" s="1">
        <f>SUM(OSRRefD21_4x_7)</f>
        <v>0</v>
      </c>
      <c r="L84" s="1">
        <f>SUM(OSRRefD21_4x_8)</f>
        <v>0</v>
      </c>
      <c r="M84" s="1">
        <f>SUM(OSRRefD21_4x_9)</f>
        <v>0</v>
      </c>
      <c r="N84" s="1">
        <f>SUM(OSRRefE21_4x_0)</f>
        <v>75</v>
      </c>
      <c r="O84" s="1">
        <f>SUM(OSRRefE21_4x_1)</f>
        <v>75</v>
      </c>
      <c r="Q84" s="2">
        <f>SUM(OSRRefD20_4x)+IFERROR(SUM(OSRRefE20_4x),0)</f>
        <v>257.7</v>
      </c>
    </row>
    <row r="85" spans="1:17" s="34" customFormat="1" hidden="1" outlineLevel="1" x14ac:dyDescent="0.25">
      <c r="A85" s="35"/>
      <c r="B85" s="10" t="str">
        <f>CONCATENATE("          ","6277", " - ","EMPLOYEE APPRECIATION")</f>
        <v xml:space="preserve">          6277 - EMPLOYEE APPRECIATION</v>
      </c>
      <c r="C85" s="11"/>
      <c r="D85" s="2">
        <v>107.7</v>
      </c>
      <c r="E85" s="2"/>
      <c r="F85" s="2"/>
      <c r="G85" s="2"/>
      <c r="H85" s="2"/>
      <c r="I85" s="2"/>
      <c r="J85" s="2"/>
      <c r="K85" s="2">
        <v>0</v>
      </c>
      <c r="L85" s="2"/>
      <c r="M85" s="2"/>
      <c r="N85" s="2">
        <v>75</v>
      </c>
      <c r="O85" s="2">
        <v>75</v>
      </c>
      <c r="P85" s="9"/>
      <c r="Q85" s="2">
        <f>SUM(OSRRefD21_4_0x)+IFERROR(SUM(OSRRefE21_4_0x),0)</f>
        <v>257.7</v>
      </c>
    </row>
    <row r="86" spans="1:17" s="34" customFormat="1" collapsed="1" x14ac:dyDescent="0.25">
      <c r="A86" s="35"/>
      <c r="B86" s="11" t="str">
        <f>CONCATENATE("     ","Equipment Rental                                  ")</f>
        <v xml:space="preserve">     Equipment Rental                                  </v>
      </c>
      <c r="C86" s="11"/>
      <c r="D86" s="1">
        <f>SUM(OSRRefD21_5x_0)</f>
        <v>91.26</v>
      </c>
      <c r="E86" s="1">
        <f>SUM(OSRRefD21_5x_1)</f>
        <v>91.26</v>
      </c>
      <c r="F86" s="1">
        <f>SUM(OSRRefD21_5x_2)</f>
        <v>91.26</v>
      </c>
      <c r="G86" s="1">
        <f>SUM(OSRRefD21_5x_3)</f>
        <v>182.52</v>
      </c>
      <c r="H86" s="1">
        <f>SUM(OSRRefD21_5x_4)</f>
        <v>91.26</v>
      </c>
      <c r="I86" s="1">
        <f>SUM(OSRRefD21_5x_5)</f>
        <v>0</v>
      </c>
      <c r="J86" s="1">
        <f>SUM(OSRRefD21_5x_6)</f>
        <v>91.26</v>
      </c>
      <c r="K86" s="1">
        <f>SUM(OSRRefD21_5x_7)</f>
        <v>91.26</v>
      </c>
      <c r="L86" s="1">
        <f>SUM(OSRRefD21_5x_8)</f>
        <v>91.26</v>
      </c>
      <c r="M86" s="1">
        <f>SUM(OSRRefD21_5x_9)</f>
        <v>91.26</v>
      </c>
      <c r="N86" s="1">
        <f>SUM(OSRRefE21_5x_0)</f>
        <v>100</v>
      </c>
      <c r="O86" s="1">
        <f>SUM(OSRRefE21_5x_1)</f>
        <v>100</v>
      </c>
      <c r="Q86" s="2">
        <f>SUM(OSRRefD20_5x)+IFERROR(SUM(OSRRefE20_5x),0)</f>
        <v>1112.5999999999999</v>
      </c>
    </row>
    <row r="87" spans="1:17" s="34" customFormat="1" hidden="1" outlineLevel="1" x14ac:dyDescent="0.25">
      <c r="A87" s="35"/>
      <c r="B87" s="10" t="str">
        <f>CONCATENATE("          ","6351", " - ","EQUIPMENT RENTAL")</f>
        <v xml:space="preserve">          6351 - EQUIPMENT RENTAL</v>
      </c>
      <c r="C87" s="11"/>
      <c r="D87" s="2">
        <v>91.26</v>
      </c>
      <c r="E87" s="2">
        <v>91.26</v>
      </c>
      <c r="F87" s="2">
        <v>91.26</v>
      </c>
      <c r="G87" s="2">
        <v>182.52</v>
      </c>
      <c r="H87" s="2">
        <v>91.26</v>
      </c>
      <c r="I87" s="2">
        <v>0</v>
      </c>
      <c r="J87" s="2">
        <v>91.26</v>
      </c>
      <c r="K87" s="2">
        <v>91.26</v>
      </c>
      <c r="L87" s="2">
        <v>91.26</v>
      </c>
      <c r="M87" s="2">
        <v>91.26</v>
      </c>
      <c r="N87" s="2">
        <v>100</v>
      </c>
      <c r="O87" s="2">
        <v>100</v>
      </c>
      <c r="P87" s="9"/>
      <c r="Q87" s="2">
        <f>SUM(OSRRefD21_5_0x)+IFERROR(SUM(OSRRefE21_5_0x),0)</f>
        <v>1112.5999999999999</v>
      </c>
    </row>
    <row r="88" spans="1:17" s="34" customFormat="1" collapsed="1" x14ac:dyDescent="0.25">
      <c r="A88" s="35"/>
      <c r="B88" s="11" t="str">
        <f>CONCATENATE("     ","Freight out/Postage                               ")</f>
        <v xml:space="preserve">     Freight out/Postage                               </v>
      </c>
      <c r="C88" s="11"/>
      <c r="D88" s="1">
        <f>SUM(OSRRefD21_6x_0)</f>
        <v>167.5</v>
      </c>
      <c r="E88" s="1">
        <f>SUM(OSRRefD21_6x_1)</f>
        <v>333.31</v>
      </c>
      <c r="F88" s="1">
        <f>SUM(OSRRefD21_6x_2)</f>
        <v>35.35</v>
      </c>
      <c r="G88" s="1">
        <f>SUM(OSRRefD21_6x_3)</f>
        <v>29.84</v>
      </c>
      <c r="H88" s="1">
        <f>SUM(OSRRefD21_6x_4)</f>
        <v>4164.83</v>
      </c>
      <c r="I88" s="1">
        <f>SUM(OSRRefD21_6x_5)</f>
        <v>4167.2</v>
      </c>
      <c r="J88" s="1">
        <f>SUM(OSRRefD21_6x_6)</f>
        <v>272.02</v>
      </c>
      <c r="K88" s="1">
        <f>SUM(OSRRefD21_6x_7)</f>
        <v>1294.28</v>
      </c>
      <c r="L88" s="1">
        <f>SUM(OSRRefD21_6x_8)</f>
        <v>7217.53</v>
      </c>
      <c r="M88" s="1">
        <f>SUM(OSRRefD21_6x_9)</f>
        <v>6096.13</v>
      </c>
      <c r="N88" s="1">
        <f>SUM(OSRRefE21_6x_0)</f>
        <v>1000</v>
      </c>
      <c r="O88" s="1">
        <f>SUM(OSRRefE21_6x_1)</f>
        <v>1000</v>
      </c>
      <c r="Q88" s="2">
        <f>SUM(OSRRefD20_6x)+IFERROR(SUM(OSRRefE20_6x),0)</f>
        <v>25777.99</v>
      </c>
    </row>
    <row r="89" spans="1:17" s="34" customFormat="1" hidden="1" outlineLevel="1" x14ac:dyDescent="0.25">
      <c r="A89" s="35"/>
      <c r="B89" s="10" t="str">
        <f>CONCATENATE("          ","6305", " - ","FREIGHT OUT")</f>
        <v xml:space="preserve">          6305 - FREIGHT OUT</v>
      </c>
      <c r="C89" s="11"/>
      <c r="D89" s="2">
        <v>167.5</v>
      </c>
      <c r="E89" s="2">
        <v>333.31</v>
      </c>
      <c r="F89" s="2">
        <v>35.35</v>
      </c>
      <c r="G89" s="2">
        <v>29.84</v>
      </c>
      <c r="H89" s="2">
        <v>4164.83</v>
      </c>
      <c r="I89" s="2">
        <v>3867.2</v>
      </c>
      <c r="J89" s="2">
        <v>571.52</v>
      </c>
      <c r="K89" s="2">
        <v>1294.28</v>
      </c>
      <c r="L89" s="2">
        <v>7217.53</v>
      </c>
      <c r="M89" s="2">
        <v>6096.13</v>
      </c>
      <c r="N89" s="2">
        <v>1000</v>
      </c>
      <c r="O89" s="2">
        <v>1000</v>
      </c>
      <c r="P89" s="9"/>
      <c r="Q89" s="2">
        <f>SUM(OSRRefD21_6_0x)+IFERROR(SUM(OSRRefE21_6_0x),0)</f>
        <v>25777.49</v>
      </c>
    </row>
    <row r="90" spans="1:17" s="34" customFormat="1" hidden="1" outlineLevel="1" x14ac:dyDescent="0.25">
      <c r="A90" s="35"/>
      <c r="B90" s="10" t="str">
        <f>CONCATENATE("          ","6307", " - ","POSTAGE")</f>
        <v xml:space="preserve">          6307 - POSTAGE</v>
      </c>
      <c r="C90" s="11"/>
      <c r="D90" s="2"/>
      <c r="E90" s="2"/>
      <c r="F90" s="2"/>
      <c r="G90" s="2"/>
      <c r="H90" s="2"/>
      <c r="I90" s="2">
        <v>300</v>
      </c>
      <c r="J90" s="2">
        <v>-299.5</v>
      </c>
      <c r="K90" s="2"/>
      <c r="L90" s="2"/>
      <c r="M90" s="2"/>
      <c r="N90" s="2"/>
      <c r="O90" s="2"/>
      <c r="P90" s="9"/>
      <c r="Q90" s="2">
        <f>SUM(OSRRefD21_6_1x)+IFERROR(SUM(OSRRefE21_6_1x),0)</f>
        <v>0.5</v>
      </c>
    </row>
    <row r="91" spans="1:17" s="34" customFormat="1" collapsed="1" x14ac:dyDescent="0.25">
      <c r="A91" s="35"/>
      <c r="B91" s="11" t="str">
        <f>CONCATENATE("     ","General                                           ")</f>
        <v xml:space="preserve">     General                                           </v>
      </c>
      <c r="C91" s="11"/>
      <c r="D91" s="1">
        <f>SUM(OSRRefD21_7x_0)</f>
        <v>-4794.1899999999996</v>
      </c>
      <c r="E91" s="1">
        <f>SUM(OSRRefD21_7x_1)</f>
        <v>0</v>
      </c>
      <c r="F91" s="1">
        <f>SUM(OSRRefD21_7x_2)</f>
        <v>0</v>
      </c>
      <c r="G91" s="1">
        <f>SUM(OSRRefD21_7x_3)</f>
        <v>-40</v>
      </c>
      <c r="H91" s="1">
        <f>SUM(OSRRefD21_7x_4)</f>
        <v>3792.73</v>
      </c>
      <c r="I91" s="1">
        <f>SUM(OSRRefD21_7x_5)</f>
        <v>-0.99</v>
      </c>
      <c r="J91" s="1">
        <f>SUM(OSRRefD21_7x_6)</f>
        <v>4.63</v>
      </c>
      <c r="K91" s="1">
        <f>SUM(OSRRefD21_7x_7)</f>
        <v>-4.21</v>
      </c>
      <c r="L91" s="1">
        <f>SUM(OSRRefD21_7x_8)</f>
        <v>0</v>
      </c>
      <c r="M91" s="1">
        <f>SUM(OSRRefD21_7x_9)</f>
        <v>-0.99</v>
      </c>
      <c r="N91" s="1">
        <f>SUM(OSRRefE21_7x_0)</f>
        <v>1250</v>
      </c>
      <c r="O91" s="1">
        <f>SUM(OSRRefE21_7x_1)</f>
        <v>0</v>
      </c>
      <c r="Q91" s="2">
        <f>SUM(OSRRefD20_7x)+IFERROR(SUM(OSRRefE20_7x),0)</f>
        <v>206.98000000000047</v>
      </c>
    </row>
    <row r="92" spans="1:17" s="34" customFormat="1" hidden="1" outlineLevel="1" x14ac:dyDescent="0.25">
      <c r="A92" s="35"/>
      <c r="B92" s="10" t="str">
        <f>CONCATENATE("          ","6269", " - ","ENTERTAINMENT")</f>
        <v xml:space="preserve">          6269 - ENTERTAINMENT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1250</v>
      </c>
      <c r="O92" s="2">
        <v>0</v>
      </c>
      <c r="P92" s="9"/>
      <c r="Q92" s="2">
        <f>SUM(OSRRefD21_7_0x)+IFERROR(SUM(OSRRefE21_7_0x),0)</f>
        <v>1250</v>
      </c>
    </row>
    <row r="93" spans="1:17" s="34" customFormat="1" hidden="1" outlineLevel="1" x14ac:dyDescent="0.25">
      <c r="A93" s="35"/>
      <c r="B93" s="10" t="str">
        <f>CONCATENATE("          ","6279", " - ","GENERAL EXPENSE")</f>
        <v xml:space="preserve">          6279 - GENERAL EXPENSE</v>
      </c>
      <c r="C93" s="11"/>
      <c r="D93" s="2">
        <v>-4794.1899999999996</v>
      </c>
      <c r="E93" s="2"/>
      <c r="F93" s="2"/>
      <c r="G93" s="2">
        <v>-40</v>
      </c>
      <c r="H93" s="2">
        <v>3792.73</v>
      </c>
      <c r="I93" s="2">
        <v>-0.99</v>
      </c>
      <c r="J93" s="2">
        <v>4.63</v>
      </c>
      <c r="K93" s="2">
        <v>-4.21</v>
      </c>
      <c r="L93" s="2">
        <v>0</v>
      </c>
      <c r="M93" s="2">
        <v>-0.99</v>
      </c>
      <c r="N93" s="2"/>
      <c r="O93" s="2"/>
      <c r="P93" s="9"/>
      <c r="Q93" s="2">
        <f>SUM(OSRRefD21_7_1x)+IFERROR(SUM(OSRRefE21_7_1x),0)</f>
        <v>-1043.0199999999995</v>
      </c>
    </row>
    <row r="94" spans="1:17" s="34" customFormat="1" collapsed="1" x14ac:dyDescent="0.25">
      <c r="A94" s="35"/>
      <c r="B94" s="11" t="str">
        <f>CONCATENATE("     ","Inventory Adjustment                              ")</f>
        <v xml:space="preserve">     Inventory Adjustment                              </v>
      </c>
      <c r="C94" s="11"/>
      <c r="D94" s="1">
        <f>SUM(OSRRefD21_8x_0)</f>
        <v>1000</v>
      </c>
      <c r="E94" s="1">
        <f>SUM(OSRRefD21_8x_1)</f>
        <v>1000</v>
      </c>
      <c r="F94" s="1">
        <f>SUM(OSRRefD21_8x_2)</f>
        <v>1000</v>
      </c>
      <c r="G94" s="1">
        <f>SUM(OSRRefD21_8x_3)</f>
        <v>1000</v>
      </c>
      <c r="H94" s="1">
        <f>SUM(OSRRefD21_8x_4)</f>
        <v>1000</v>
      </c>
      <c r="I94" s="1">
        <f>SUM(OSRRefD21_8x_5)</f>
        <v>6000</v>
      </c>
      <c r="J94" s="1">
        <f>SUM(OSRRefD21_8x_6)</f>
        <v>1000</v>
      </c>
      <c r="K94" s="1">
        <f>SUM(OSRRefD21_8x_7)</f>
        <v>1000</v>
      </c>
      <c r="L94" s="1">
        <f>SUM(OSRRefD21_8x_8)</f>
        <v>1000</v>
      </c>
      <c r="M94" s="1">
        <f>SUM(OSRRefD21_8x_9)</f>
        <v>1000</v>
      </c>
      <c r="N94" s="1">
        <f>SUM(OSRRefE21_8x_0)</f>
        <v>1000</v>
      </c>
      <c r="O94" s="1">
        <f>SUM(OSRRefE21_8x_1)</f>
        <v>15000</v>
      </c>
      <c r="Q94" s="2">
        <f>SUM(OSRRefD20_8x)+IFERROR(SUM(OSRRefE20_8x),0)</f>
        <v>31000</v>
      </c>
    </row>
    <row r="95" spans="1:17" s="34" customFormat="1" hidden="1" outlineLevel="1" x14ac:dyDescent="0.25">
      <c r="A95" s="35"/>
      <c r="B95" s="10" t="str">
        <f>CONCATENATE("          ","6408", " - ","INVENTORY ADJUSTMENT")</f>
        <v xml:space="preserve">          6408 - INVENTORY ADJUSTMENT</v>
      </c>
      <c r="C95" s="11"/>
      <c r="D95" s="2">
        <v>1000</v>
      </c>
      <c r="E95" s="2">
        <v>1000</v>
      </c>
      <c r="F95" s="2">
        <v>1000</v>
      </c>
      <c r="G95" s="2">
        <v>1000</v>
      </c>
      <c r="H95" s="2">
        <v>1000</v>
      </c>
      <c r="I95" s="2">
        <v>6000</v>
      </c>
      <c r="J95" s="2">
        <v>1000</v>
      </c>
      <c r="K95" s="2">
        <v>1000</v>
      </c>
      <c r="L95" s="2">
        <v>1000</v>
      </c>
      <c r="M95" s="2">
        <v>1000</v>
      </c>
      <c r="N95" s="2">
        <v>1000</v>
      </c>
      <c r="O95" s="2">
        <v>15000</v>
      </c>
      <c r="P95" s="9"/>
      <c r="Q95" s="2">
        <f>SUM(OSRRefD21_8_0x)+IFERROR(SUM(OSRRefE21_8_0x),0)</f>
        <v>31000</v>
      </c>
    </row>
    <row r="96" spans="1:17" s="34" customFormat="1" collapsed="1" x14ac:dyDescent="0.25">
      <c r="A96" s="35"/>
      <c r="B96" s="11" t="str">
        <f>CONCATENATE("     ","Repair and Maintenance                            ")</f>
        <v xml:space="preserve">     Repair and Maintenance                            </v>
      </c>
      <c r="C96" s="11"/>
      <c r="D96" s="1">
        <f>SUM(OSRRefD21_9x_0)</f>
        <v>22.86</v>
      </c>
      <c r="E96" s="1">
        <f>SUM(OSRRefD21_9x_1)</f>
        <v>0</v>
      </c>
      <c r="F96" s="1">
        <f>SUM(OSRRefD21_9x_2)</f>
        <v>68.94</v>
      </c>
      <c r="G96" s="1">
        <f>SUM(OSRRefD21_9x_3)</f>
        <v>19.670000000000002</v>
      </c>
      <c r="H96" s="1">
        <f>SUM(OSRRefD21_9x_4)</f>
        <v>22.16</v>
      </c>
      <c r="I96" s="1">
        <f>SUM(OSRRefD21_9x_5)</f>
        <v>15.84</v>
      </c>
      <c r="J96" s="1">
        <f>SUM(OSRRefD21_9x_6)</f>
        <v>17.91</v>
      </c>
      <c r="K96" s="1">
        <f>SUM(OSRRefD21_9x_7)</f>
        <v>15.47</v>
      </c>
      <c r="L96" s="1">
        <f>SUM(OSRRefD21_9x_8)</f>
        <v>24.47</v>
      </c>
      <c r="M96" s="1">
        <f>SUM(OSRRefD21_9x_9)</f>
        <v>254.93</v>
      </c>
      <c r="N96" s="1">
        <f>SUM(OSRRefE21_9x_0)</f>
        <v>12140</v>
      </c>
      <c r="O96" s="1">
        <f>SUM(OSRRefE21_9x_1)</f>
        <v>140</v>
      </c>
      <c r="Q96" s="2">
        <f>SUM(OSRRefD20_9x)+IFERROR(SUM(OSRRefE20_9x),0)</f>
        <v>12742.25</v>
      </c>
    </row>
    <row r="97" spans="1:17" s="34" customFormat="1" hidden="1" outlineLevel="1" x14ac:dyDescent="0.25">
      <c r="A97" s="35"/>
      <c r="B97" s="10" t="str">
        <f>CONCATENATE("          ","6371", " - ","COMPUTER SOFTWARE MAINTENANCE")</f>
        <v xml:space="preserve">          6371 - COMPUTER SOFTWARE MAINTENANCE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>
        <v>12000</v>
      </c>
      <c r="O97" s="2"/>
      <c r="P97" s="9"/>
      <c r="Q97" s="2">
        <f>SUM(OSRRefD21_9_0x)+IFERROR(SUM(OSRRefE21_9_0x),0)</f>
        <v>12000</v>
      </c>
    </row>
    <row r="98" spans="1:17" s="34" customFormat="1" hidden="1" outlineLevel="1" x14ac:dyDescent="0.25">
      <c r="A98" s="35"/>
      <c r="B98" s="10" t="str">
        <f>CONCATENATE("          ","6373", " - ","MAINTENANCE CONTRACTS")</f>
        <v xml:space="preserve">          6373 - MAINTENANCE CONTRACTS</v>
      </c>
      <c r="C98" s="11"/>
      <c r="D98" s="2">
        <v>22.86</v>
      </c>
      <c r="E98" s="2"/>
      <c r="F98" s="2">
        <v>43.83</v>
      </c>
      <c r="G98" s="2">
        <v>19.670000000000002</v>
      </c>
      <c r="H98" s="2">
        <v>22.16</v>
      </c>
      <c r="I98" s="2">
        <v>15.84</v>
      </c>
      <c r="J98" s="2">
        <v>17.91</v>
      </c>
      <c r="K98" s="2">
        <v>15.47</v>
      </c>
      <c r="L98" s="2">
        <v>24.47</v>
      </c>
      <c r="M98" s="2">
        <v>22.53</v>
      </c>
      <c r="N98" s="2">
        <v>40</v>
      </c>
      <c r="O98" s="2">
        <v>40</v>
      </c>
      <c r="P98" s="9"/>
      <c r="Q98" s="2">
        <f>SUM(OSRRefD21_9_1x)+IFERROR(SUM(OSRRefE21_9_1x),0)</f>
        <v>284.74</v>
      </c>
    </row>
    <row r="99" spans="1:17" s="34" customFormat="1" hidden="1" outlineLevel="1" x14ac:dyDescent="0.25">
      <c r="A99" s="35"/>
      <c r="B99" s="10" t="str">
        <f>CONCATENATE("          ","6375", " - ","OUTSIDE REPAIRS &amp; MAINTENANCE")</f>
        <v xml:space="preserve">          6375 - OUTSIDE REPAIRS &amp; MAINTENANCE</v>
      </c>
      <c r="C99" s="11"/>
      <c r="D99" s="2"/>
      <c r="E99" s="2"/>
      <c r="F99" s="2">
        <v>25.11</v>
      </c>
      <c r="G99" s="2"/>
      <c r="H99" s="2"/>
      <c r="I99" s="2"/>
      <c r="J99" s="2"/>
      <c r="K99" s="2"/>
      <c r="L99" s="2"/>
      <c r="M99" s="2">
        <v>232.4</v>
      </c>
      <c r="N99" s="2">
        <v>100</v>
      </c>
      <c r="O99" s="2">
        <v>100</v>
      </c>
      <c r="P99" s="9"/>
      <c r="Q99" s="2">
        <f>SUM(OSRRefD21_9_2x)+IFERROR(SUM(OSRRefE21_9_2x),0)</f>
        <v>457.51</v>
      </c>
    </row>
    <row r="100" spans="1:17" s="34" customFormat="1" collapsed="1" x14ac:dyDescent="0.25">
      <c r="A100" s="35"/>
      <c r="B100" s="11" t="str">
        <f>CONCATENATE("     ","Subscriptions &amp; Dues                              ")</f>
        <v xml:space="preserve">     Subscriptions &amp; Dues                              </v>
      </c>
      <c r="C100" s="11"/>
      <c r="D100" s="1">
        <f>SUM(OSRRefD21_10x_0)</f>
        <v>290</v>
      </c>
      <c r="E100" s="1">
        <f>SUM(OSRRefD21_10x_1)</f>
        <v>270</v>
      </c>
      <c r="F100" s="1">
        <f>SUM(OSRRefD21_10x_2)</f>
        <v>73.040000000000006</v>
      </c>
      <c r="G100" s="1">
        <f>SUM(OSRRefD21_10x_3)</f>
        <v>790.32</v>
      </c>
      <c r="H100" s="1">
        <f>SUM(OSRRefD21_10x_4)</f>
        <v>166.92</v>
      </c>
      <c r="I100" s="1">
        <f>SUM(OSRRefD21_10x_5)</f>
        <v>141.16</v>
      </c>
      <c r="J100" s="1">
        <f>SUM(OSRRefD21_10x_6)</f>
        <v>2180.9899999999998</v>
      </c>
      <c r="K100" s="1">
        <f>SUM(OSRRefD21_10x_7)</f>
        <v>181.41</v>
      </c>
      <c r="L100" s="1">
        <f>SUM(OSRRefD21_10x_8)</f>
        <v>232.79</v>
      </c>
      <c r="M100" s="1">
        <f>SUM(OSRRefD21_10x_9)</f>
        <v>328.71</v>
      </c>
      <c r="N100" s="1">
        <f>SUM(OSRRefE21_10x_0)</f>
        <v>300</v>
      </c>
      <c r="O100" s="1">
        <f>SUM(OSRRefE21_10x_1)</f>
        <v>300</v>
      </c>
      <c r="Q100" s="2">
        <f>SUM(OSRRefD20_10x)+IFERROR(SUM(OSRRefE20_10x),0)</f>
        <v>5255.34</v>
      </c>
    </row>
    <row r="101" spans="1:17" s="34" customFormat="1" hidden="1" outlineLevel="1" x14ac:dyDescent="0.25">
      <c r="A101" s="35"/>
      <c r="B101" s="10" t="str">
        <f>CONCATENATE("          ","6258", " - ","MEMBERSHIP DUES")</f>
        <v xml:space="preserve">          6258 - MEMBERSHIP DUES</v>
      </c>
      <c r="C101" s="11"/>
      <c r="D101" s="2">
        <v>290</v>
      </c>
      <c r="E101" s="2">
        <v>270</v>
      </c>
      <c r="F101" s="2">
        <v>73.040000000000006</v>
      </c>
      <c r="G101" s="2">
        <v>790.32</v>
      </c>
      <c r="H101" s="2">
        <v>166.92</v>
      </c>
      <c r="I101" s="2">
        <v>141.16</v>
      </c>
      <c r="J101" s="2">
        <v>328.91</v>
      </c>
      <c r="K101" s="2">
        <v>181.41</v>
      </c>
      <c r="L101" s="2">
        <v>232.79</v>
      </c>
      <c r="M101" s="2">
        <v>328.71</v>
      </c>
      <c r="N101" s="2">
        <v>300</v>
      </c>
      <c r="O101" s="2">
        <v>300</v>
      </c>
      <c r="P101" s="9"/>
      <c r="Q101" s="2">
        <f>SUM(OSRRefD21_10_0x)+IFERROR(SUM(OSRRefE21_10_0x),0)</f>
        <v>3403.26</v>
      </c>
    </row>
    <row r="102" spans="1:17" s="34" customFormat="1" hidden="1" outlineLevel="1" x14ac:dyDescent="0.25">
      <c r="A102" s="35"/>
      <c r="B102" s="10" t="str">
        <f>CONCATENATE("          ","6275", " - ","SUBSCRIPTIONS")</f>
        <v xml:space="preserve">          6275 - SUBSCRIPTIONS</v>
      </c>
      <c r="C102" s="11"/>
      <c r="D102" s="2"/>
      <c r="E102" s="2"/>
      <c r="F102" s="2"/>
      <c r="G102" s="2"/>
      <c r="H102" s="2"/>
      <c r="I102" s="2"/>
      <c r="J102" s="2">
        <v>1852.08</v>
      </c>
      <c r="K102" s="2"/>
      <c r="L102" s="2"/>
      <c r="M102" s="2"/>
      <c r="N102" s="2"/>
      <c r="O102" s="2"/>
      <c r="P102" s="9"/>
      <c r="Q102" s="2">
        <f>SUM(OSRRefD21_10_1x)+IFERROR(SUM(OSRRefE21_10_1x),0)</f>
        <v>1852.08</v>
      </c>
    </row>
    <row r="103" spans="1:17" s="34" customFormat="1" collapsed="1" x14ac:dyDescent="0.25">
      <c r="A103" s="35"/>
      <c r="B103" s="11" t="str">
        <f>CONCATENATE("     ","Supplies                                          ")</f>
        <v xml:space="preserve">     Supplies                                          </v>
      </c>
      <c r="C103" s="11"/>
      <c r="D103" s="1">
        <f>SUM(OSRRefD21_11x_0)</f>
        <v>792.76</v>
      </c>
      <c r="E103" s="1">
        <f>SUM(OSRRefD21_11x_1)</f>
        <v>197.4</v>
      </c>
      <c r="F103" s="1">
        <f>SUM(OSRRefD21_11x_2)</f>
        <v>98.81</v>
      </c>
      <c r="G103" s="1">
        <f>SUM(OSRRefD21_11x_3)</f>
        <v>146.28</v>
      </c>
      <c r="H103" s="1">
        <f>SUM(OSRRefD21_11x_4)</f>
        <v>311.44</v>
      </c>
      <c r="I103" s="1">
        <f>SUM(OSRRefD21_11x_5)</f>
        <v>522.95000000000005</v>
      </c>
      <c r="J103" s="1">
        <f>SUM(OSRRefD21_11x_6)</f>
        <v>2182.2599999999998</v>
      </c>
      <c r="K103" s="1">
        <f>SUM(OSRRefD21_11x_7)</f>
        <v>583.6</v>
      </c>
      <c r="L103" s="1">
        <f>SUM(OSRRefD21_11x_8)</f>
        <v>175.16</v>
      </c>
      <c r="M103" s="1">
        <f>SUM(OSRRefD21_11x_9)</f>
        <v>362.77</v>
      </c>
      <c r="N103" s="1">
        <f>SUM(OSRRefE21_11x_0)</f>
        <v>1200</v>
      </c>
      <c r="O103" s="1">
        <f>SUM(OSRRefE21_11x_1)</f>
        <v>700</v>
      </c>
      <c r="Q103" s="2">
        <f>SUM(OSRRefD20_11x)+IFERROR(SUM(OSRRefE20_11x),0)</f>
        <v>7273.43</v>
      </c>
    </row>
    <row r="104" spans="1:17" s="34" customFormat="1" hidden="1" outlineLevel="1" x14ac:dyDescent="0.25">
      <c r="A104" s="35"/>
      <c r="B104" s="10" t="str">
        <f>CONCATENATE("          ","6241", " - ","OFFICE EXPENSE")</f>
        <v xml:space="preserve">          6241 - OFFICE EXPENSE</v>
      </c>
      <c r="C104" s="11"/>
      <c r="D104" s="2">
        <v>159.66</v>
      </c>
      <c r="E104" s="2">
        <v>197.4</v>
      </c>
      <c r="F104" s="2">
        <v>98.81</v>
      </c>
      <c r="G104" s="2">
        <v>146.28</v>
      </c>
      <c r="H104" s="2">
        <v>311.44</v>
      </c>
      <c r="I104" s="2">
        <v>210.77</v>
      </c>
      <c r="J104" s="2">
        <v>85.24</v>
      </c>
      <c r="K104" s="2">
        <v>45</v>
      </c>
      <c r="L104" s="2">
        <v>160.69999999999999</v>
      </c>
      <c r="M104" s="2">
        <v>151.37</v>
      </c>
      <c r="N104" s="2">
        <v>300</v>
      </c>
      <c r="O104" s="2">
        <v>200</v>
      </c>
      <c r="P104" s="9"/>
      <c r="Q104" s="2">
        <f>SUM(OSRRefD21_11_0x)+IFERROR(SUM(OSRRefE21_11_0x),0)</f>
        <v>2066.67</v>
      </c>
    </row>
    <row r="105" spans="1:17" s="34" customFormat="1" hidden="1" outlineLevel="1" x14ac:dyDescent="0.25">
      <c r="A105" s="35"/>
      <c r="B105" s="10" t="str">
        <f>CONCATENATE("          ","6245", " - ","PRINTING")</f>
        <v xml:space="preserve">          6245 - PRINTING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>
        <v>500</v>
      </c>
      <c r="O105" s="2">
        <v>100</v>
      </c>
      <c r="P105" s="9"/>
      <c r="Q105" s="2">
        <f>SUM(OSRRefD21_11_1x)+IFERROR(SUM(OSRRefE21_11_1x),0)</f>
        <v>600</v>
      </c>
    </row>
    <row r="106" spans="1:17" s="34" customFormat="1" hidden="1" outlineLevel="1" x14ac:dyDescent="0.25">
      <c r="A106" s="35"/>
      <c r="B106" s="10" t="str">
        <f>CONCATENATE("          ","6247", " - ","STORE SUPPLIES")</f>
        <v xml:space="preserve">          6247 - STORE SUPPLIES</v>
      </c>
      <c r="C106" s="11"/>
      <c r="D106" s="2">
        <v>633.1</v>
      </c>
      <c r="E106" s="2"/>
      <c r="F106" s="2"/>
      <c r="G106" s="2"/>
      <c r="H106" s="2"/>
      <c r="I106" s="2">
        <v>312.18</v>
      </c>
      <c r="J106" s="2">
        <v>2097.02</v>
      </c>
      <c r="K106" s="2">
        <v>538.6</v>
      </c>
      <c r="L106" s="2">
        <v>14.46</v>
      </c>
      <c r="M106" s="2">
        <v>211.4</v>
      </c>
      <c r="N106" s="2">
        <v>400</v>
      </c>
      <c r="O106" s="2">
        <v>400</v>
      </c>
      <c r="P106" s="9"/>
      <c r="Q106" s="2">
        <f>SUM(OSRRefD21_11_2x)+IFERROR(SUM(OSRRefE21_11_2x),0)</f>
        <v>4606.76</v>
      </c>
    </row>
    <row r="107" spans="1:17" s="34" customFormat="1" collapsed="1" x14ac:dyDescent="0.25">
      <c r="A107" s="35"/>
      <c r="B107" s="11" t="str">
        <f>CONCATENATE("     ","Telephone/Data Lines                              ")</f>
        <v xml:space="preserve">     Telephone/Data Lines                              </v>
      </c>
      <c r="C107" s="11"/>
      <c r="D107" s="1">
        <f>SUM(OSRRefD21_12x_0)</f>
        <v>760.5</v>
      </c>
      <c r="E107" s="1">
        <f>SUM(OSRRefD21_12x_1)</f>
        <v>472.8</v>
      </c>
      <c r="F107" s="1">
        <f>SUM(OSRRefD21_12x_2)</f>
        <v>2635</v>
      </c>
      <c r="G107" s="1">
        <f>SUM(OSRRefD21_12x_3)</f>
        <v>-634.45000000000005</v>
      </c>
      <c r="H107" s="1">
        <f>SUM(OSRRefD21_12x_4)</f>
        <v>1346.65</v>
      </c>
      <c r="I107" s="1">
        <f>SUM(OSRRefD21_12x_5)</f>
        <v>462</v>
      </c>
      <c r="J107" s="1">
        <f>SUM(OSRRefD21_12x_6)</f>
        <v>1215.2</v>
      </c>
      <c r="K107" s="1">
        <f>SUM(OSRRefD21_12x_7)</f>
        <v>505.85</v>
      </c>
      <c r="L107" s="1">
        <f>SUM(OSRRefD21_12x_8)</f>
        <v>418.4</v>
      </c>
      <c r="M107" s="1">
        <f>SUM(OSRRefD21_12x_9)</f>
        <v>1003.95</v>
      </c>
      <c r="N107" s="1">
        <f>SUM(OSRRefE21_12x_0)</f>
        <v>600</v>
      </c>
      <c r="O107" s="1">
        <f>SUM(OSRRefE21_12x_1)</f>
        <v>600</v>
      </c>
      <c r="Q107" s="2">
        <f>SUM(OSRRefD20_12x)+IFERROR(SUM(OSRRefE20_12x),0)</f>
        <v>9385.9</v>
      </c>
    </row>
    <row r="108" spans="1:17" s="34" customFormat="1" hidden="1" outlineLevel="1" x14ac:dyDescent="0.25">
      <c r="A108" s="35"/>
      <c r="B108" s="10" t="str">
        <f>CONCATENATE("          ","6303", " - ","DATA PHONE LINES")</f>
        <v xml:space="preserve">          6303 - DATA PHONE LINES</v>
      </c>
      <c r="C108" s="11"/>
      <c r="D108" s="2">
        <v>295</v>
      </c>
      <c r="E108" s="2"/>
      <c r="F108" s="2">
        <v>885</v>
      </c>
      <c r="G108" s="2"/>
      <c r="H108" s="2">
        <v>885</v>
      </c>
      <c r="I108" s="2"/>
      <c r="J108" s="2">
        <v>295</v>
      </c>
      <c r="K108" s="2">
        <v>590</v>
      </c>
      <c r="L108" s="2"/>
      <c r="M108" s="2">
        <v>590</v>
      </c>
      <c r="N108" s="2">
        <v>300</v>
      </c>
      <c r="O108" s="2">
        <v>300</v>
      </c>
      <c r="P108" s="9"/>
      <c r="Q108" s="2">
        <f>SUM(OSRRefD21_12_0x)+IFERROR(SUM(OSRRefE21_12_0x),0)</f>
        <v>4140</v>
      </c>
    </row>
    <row r="109" spans="1:17" s="34" customFormat="1" hidden="1" outlineLevel="1" x14ac:dyDescent="0.25">
      <c r="A109" s="35"/>
      <c r="B109" s="10" t="str">
        <f>CONCATENATE("          ","6309", " - ","TELEPHONE")</f>
        <v xml:space="preserve">          6309 - TELEPHONE</v>
      </c>
      <c r="C109" s="11"/>
      <c r="D109" s="2">
        <v>465.5</v>
      </c>
      <c r="E109" s="2">
        <v>472.8</v>
      </c>
      <c r="F109" s="2">
        <v>1750</v>
      </c>
      <c r="G109" s="2">
        <v>-634.45000000000005</v>
      </c>
      <c r="H109" s="2">
        <v>461.65</v>
      </c>
      <c r="I109" s="2">
        <v>462</v>
      </c>
      <c r="J109" s="2">
        <v>920.2</v>
      </c>
      <c r="K109" s="2">
        <v>-84.15</v>
      </c>
      <c r="L109" s="2">
        <v>418.4</v>
      </c>
      <c r="M109" s="2">
        <v>413.95</v>
      </c>
      <c r="N109" s="2">
        <v>300</v>
      </c>
      <c r="O109" s="2">
        <v>300</v>
      </c>
      <c r="P109" s="9"/>
      <c r="Q109" s="2">
        <f>SUM(OSRRefD21_12_1x)+IFERROR(SUM(OSRRefE21_12_1x),0)</f>
        <v>5245.9000000000005</v>
      </c>
    </row>
    <row r="110" spans="1:17" s="34" customFormat="1" collapsed="1" x14ac:dyDescent="0.25">
      <c r="A110" s="35"/>
      <c r="B110" s="11" t="str">
        <f>CONCATENATE("     ","Travel                                            ")</f>
        <v xml:space="preserve">     Travel                                            </v>
      </c>
      <c r="C110" s="11"/>
      <c r="D110" s="1">
        <f>SUM(OSRRefD21_13x_0)</f>
        <v>0.16</v>
      </c>
      <c r="E110" s="1">
        <f>SUM(OSRRefD21_13x_1)</f>
        <v>0</v>
      </c>
      <c r="F110" s="1">
        <f>SUM(OSRRefD21_13x_2)</f>
        <v>0</v>
      </c>
      <c r="G110" s="1">
        <f>SUM(OSRRefD21_13x_3)</f>
        <v>0</v>
      </c>
      <c r="H110" s="1">
        <f>SUM(OSRRefD21_13x_4)</f>
        <v>0</v>
      </c>
      <c r="I110" s="1">
        <f>SUM(OSRRefD21_13x_5)</f>
        <v>0</v>
      </c>
      <c r="J110" s="1">
        <f>SUM(OSRRefD21_13x_6)</f>
        <v>0</v>
      </c>
      <c r="K110" s="1">
        <f>SUM(OSRRefD21_13x_7)</f>
        <v>0</v>
      </c>
      <c r="L110" s="1">
        <f>SUM(OSRRefD21_13x_8)</f>
        <v>0</v>
      </c>
      <c r="M110" s="1">
        <f>SUM(OSRRefD21_13x_9)</f>
        <v>0</v>
      </c>
      <c r="N110" s="1">
        <f>SUM(OSRRefE21_13x_0)</f>
        <v>0</v>
      </c>
      <c r="O110" s="1">
        <f>SUM(OSRRefE21_13x_1)</f>
        <v>0</v>
      </c>
      <c r="Q110" s="2">
        <f>SUM(OSRRefD20_13x)+IFERROR(SUM(OSRRefE20_13x),0)</f>
        <v>0.16</v>
      </c>
    </row>
    <row r="111" spans="1:17" s="34" customFormat="1" hidden="1" outlineLevel="1" x14ac:dyDescent="0.25">
      <c r="A111" s="35"/>
      <c r="B111" s="10" t="str">
        <f>CONCATENATE("          ","6292", " - ","TRAVEL/CONFERENCE")</f>
        <v xml:space="preserve">          6292 - TRAVEL/CONFERENCE</v>
      </c>
      <c r="C111" s="11"/>
      <c r="D111" s="2">
        <v>0.16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9"/>
      <c r="Q111" s="2">
        <f>SUM(OSRRefD21_13_0x)+IFERROR(SUM(OSRRefE21_13_0x),0)</f>
        <v>0.16</v>
      </c>
    </row>
    <row r="112" spans="1:17" s="30" customFormat="1" x14ac:dyDescent="0.25">
      <c r="A112" s="21"/>
      <c r="B112" s="21"/>
      <c r="C112" s="2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25">
      <c r="A113" s="23"/>
      <c r="B113" s="16" t="s">
        <v>291</v>
      </c>
      <c r="C113" s="22"/>
      <c r="D113" s="3">
        <f>--2056.93</f>
        <v>2056.9299999999998</v>
      </c>
      <c r="E113" s="3">
        <f>--1890.48</f>
        <v>1890.48</v>
      </c>
      <c r="F113" s="3">
        <f>--156953.37</f>
        <v>156953.37</v>
      </c>
      <c r="G113" s="3">
        <f>--267.41</f>
        <v>267.41000000000003</v>
      </c>
      <c r="H113" s="3">
        <f>--917.38</f>
        <v>917.38</v>
      </c>
      <c r="I113" s="3">
        <f>--11680.24</f>
        <v>11680.24</v>
      </c>
      <c r="J113" s="3">
        <f>--7055.88</f>
        <v>7055.88</v>
      </c>
      <c r="K113" s="3">
        <f>--145116.21</f>
        <v>145116.21</v>
      </c>
      <c r="L113" s="3">
        <f>--4864.23</f>
        <v>4864.2299999999996</v>
      </c>
      <c r="M113" s="3">
        <f>--505.94</f>
        <v>505.94</v>
      </c>
      <c r="N113" s="3">
        <v>2900</v>
      </c>
      <c r="O113" s="3">
        <v>3100</v>
      </c>
      <c r="Q113" s="2">
        <f>SUM(OSRRefD23_0x)+IFERROR(SUM(OSRRefE23_0x),0)</f>
        <v>337308.07</v>
      </c>
    </row>
    <row r="114" spans="1:17" x14ac:dyDescent="0.25">
      <c r="A114" s="5"/>
      <c r="B114" s="6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x14ac:dyDescent="0.25">
      <c r="A115" s="6"/>
      <c r="B115" s="17" t="s">
        <v>274</v>
      </c>
      <c r="C115" s="17"/>
      <c r="D115" s="8">
        <f t="shared" ref="D115:O115" si="16">IFERROR(+D53-D56+D113, 0)</f>
        <v>-20865.900000000045</v>
      </c>
      <c r="E115" s="8">
        <f t="shared" si="16"/>
        <v>287246.44000000012</v>
      </c>
      <c r="F115" s="8">
        <f t="shared" si="16"/>
        <v>197116.18</v>
      </c>
      <c r="G115" s="8">
        <f t="shared" si="16"/>
        <v>-33057.159999999982</v>
      </c>
      <c r="H115" s="8">
        <f t="shared" si="16"/>
        <v>-40296.010000000038</v>
      </c>
      <c r="I115" s="8">
        <f t="shared" si="16"/>
        <v>-31233.929999999986</v>
      </c>
      <c r="J115" s="8">
        <f t="shared" si="16"/>
        <v>250252.83000000005</v>
      </c>
      <c r="K115" s="8">
        <f t="shared" si="16"/>
        <v>129998.30999999997</v>
      </c>
      <c r="L115" s="8">
        <f t="shared" si="16"/>
        <v>-36894.150000000023</v>
      </c>
      <c r="M115" s="8">
        <f t="shared" si="16"/>
        <v>-57685.580000000009</v>
      </c>
      <c r="N115" s="8">
        <f t="shared" si="16"/>
        <v>-44767.93975573653</v>
      </c>
      <c r="O115" s="8">
        <f t="shared" si="16"/>
        <v>-53315.147615799033</v>
      </c>
      <c r="Q115" s="8">
        <f>IFERROR(+Q53-Q56+Q113, 0)</f>
        <v>546497.94262846536</v>
      </c>
    </row>
    <row r="116" spans="1:17" s="6" customFormat="1" x14ac:dyDescent="0.25">
      <c r="B116" s="16"/>
      <c r="C116" s="16"/>
      <c r="D116" s="4">
        <f t="shared" ref="D116:O116" si="17">IFERROR(D115/D10, 0)</f>
        <v>-0.43435731628924851</v>
      </c>
      <c r="E116" s="4">
        <f t="shared" si="17"/>
        <v>0.23427488345730174</v>
      </c>
      <c r="F116" s="4">
        <f t="shared" si="17"/>
        <v>0.83039757191627939</v>
      </c>
      <c r="G116" s="4">
        <f t="shared" si="17"/>
        <v>-0.96705754047890091</v>
      </c>
      <c r="H116" s="4">
        <f t="shared" si="17"/>
        <v>-4.7272760333874979</v>
      </c>
      <c r="I116" s="4">
        <f t="shared" si="17"/>
        <v>-1.7624093726036529</v>
      </c>
      <c r="J116" s="4">
        <f t="shared" si="17"/>
        <v>0.25304778069494277</v>
      </c>
      <c r="K116" s="4">
        <f t="shared" si="17"/>
        <v>1.664870632107089</v>
      </c>
      <c r="L116" s="4">
        <f t="shared" si="17"/>
        <v>-2.4604399884227632</v>
      </c>
      <c r="M116" s="4">
        <f t="shared" si="17"/>
        <v>-2.2488514151228429</v>
      </c>
      <c r="N116" s="4">
        <f t="shared" si="17"/>
        <v>-1.0988019821006696</v>
      </c>
      <c r="O116" s="4">
        <f t="shared" si="17"/>
        <v>-4.670253560017084</v>
      </c>
      <c r="P116" s="18"/>
      <c r="Q116" s="4">
        <f>IFERROR(Q115/Q10, 0)</f>
        <v>0.20005086715237955</v>
      </c>
    </row>
    <row r="117" spans="1:17" x14ac:dyDescent="0.25">
      <c r="A117" s="5"/>
      <c r="B117" s="6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25">
      <c r="A118" s="25"/>
      <c r="B118" s="6" t="s">
        <v>125</v>
      </c>
      <c r="C118" s="6"/>
      <c r="D118" s="3">
        <v>23474.36</v>
      </c>
      <c r="E118" s="3">
        <v>191648.45</v>
      </c>
      <c r="F118" s="3">
        <v>64894.33</v>
      </c>
      <c r="G118" s="3">
        <v>54816.07</v>
      </c>
      <c r="H118" s="3">
        <v>-87872.35</v>
      </c>
      <c r="I118" s="3">
        <v>38147.01</v>
      </c>
      <c r="J118" s="3">
        <v>179764.56</v>
      </c>
      <c r="K118" s="3">
        <v>57742.07</v>
      </c>
      <c r="L118" s="3">
        <v>24349.35</v>
      </c>
      <c r="M118" s="3">
        <v>13626.98</v>
      </c>
      <c r="N118" s="3">
        <v>32826</v>
      </c>
      <c r="O118" s="3">
        <v>15575</v>
      </c>
      <c r="Q118" s="2">
        <f>SUM(OSRRefD28_0x)+IFERROR(SUM(OSRRefE28_0x),0)</f>
        <v>608991.82999999996</v>
      </c>
    </row>
    <row r="119" spans="1:17" x14ac:dyDescent="0.25">
      <c r="A119" s="5"/>
      <c r="B119" s="6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ht="15.75" thickBot="1" x14ac:dyDescent="0.3">
      <c r="A120" s="6"/>
      <c r="B120" s="17" t="s">
        <v>124</v>
      </c>
      <c r="C120" s="17"/>
      <c r="D120" s="7">
        <f t="shared" ref="D120:O120" si="18">IFERROR(+D115-D118, 0)</f>
        <v>-44340.260000000046</v>
      </c>
      <c r="E120" s="7">
        <f t="shared" si="18"/>
        <v>95597.990000000107</v>
      </c>
      <c r="F120" s="7">
        <f t="shared" si="18"/>
        <v>132221.84999999998</v>
      </c>
      <c r="G120" s="7">
        <f t="shared" si="18"/>
        <v>-87873.229999999981</v>
      </c>
      <c r="H120" s="7">
        <f t="shared" si="18"/>
        <v>47576.339999999967</v>
      </c>
      <c r="I120" s="7">
        <f t="shared" si="18"/>
        <v>-69380.939999999988</v>
      </c>
      <c r="J120" s="7">
        <f t="shared" si="18"/>
        <v>70488.270000000048</v>
      </c>
      <c r="K120" s="7">
        <f t="shared" si="18"/>
        <v>72256.239999999962</v>
      </c>
      <c r="L120" s="7">
        <f t="shared" si="18"/>
        <v>-61243.500000000022</v>
      </c>
      <c r="M120" s="7">
        <f t="shared" si="18"/>
        <v>-71312.560000000012</v>
      </c>
      <c r="N120" s="7">
        <f t="shared" si="18"/>
        <v>-77593.93975573653</v>
      </c>
      <c r="O120" s="7">
        <f t="shared" si="18"/>
        <v>-68890.14761579904</v>
      </c>
      <c r="Q120" s="7">
        <f>IFERROR(+Q115-Q118, 0)</f>
        <v>-62493.887371534598</v>
      </c>
    </row>
    <row r="121" spans="1:17" ht="15.75" thickTop="1" x14ac:dyDescent="0.25">
      <c r="A121" s="5"/>
      <c r="B121" s="5"/>
      <c r="C121" s="5"/>
      <c r="D121" s="4">
        <f t="shared" ref="D121:O121" si="19">IFERROR(D120/D10, 0)</f>
        <v>-0.92301392881052302</v>
      </c>
      <c r="E121" s="4">
        <f t="shared" si="19"/>
        <v>7.7968618047981067E-2</v>
      </c>
      <c r="F121" s="4">
        <f t="shared" si="19"/>
        <v>0.5570151734590153</v>
      </c>
      <c r="G121" s="4">
        <f t="shared" si="19"/>
        <v>-2.5706524600944785</v>
      </c>
      <c r="H121" s="4">
        <f t="shared" si="19"/>
        <v>5.5813588451634439</v>
      </c>
      <c r="I121" s="4">
        <f t="shared" si="19"/>
        <v>-3.9148970025882659</v>
      </c>
      <c r="J121" s="4">
        <f t="shared" si="19"/>
        <v>7.1275518796434484E-2</v>
      </c>
      <c r="K121" s="4">
        <f t="shared" si="19"/>
        <v>0.92537581421236548</v>
      </c>
      <c r="L121" s="4">
        <f t="shared" si="19"/>
        <v>-4.0842777630320644</v>
      </c>
      <c r="M121" s="4">
        <f t="shared" si="19"/>
        <v>-2.7800942882438324</v>
      </c>
      <c r="N121" s="4">
        <f t="shared" si="19"/>
        <v>-1.9044962816650066</v>
      </c>
      <c r="O121" s="4">
        <f t="shared" si="19"/>
        <v>-6.0345787555776633</v>
      </c>
      <c r="P121" s="18"/>
      <c r="Q121" s="4">
        <f>IFERROR(Q120/Q10, 0)</f>
        <v>-2.2876493002459565E-2</v>
      </c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2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.75" thickBot="1" x14ac:dyDescent="0.3">
      <c r="A124" s="6"/>
      <c r="B124" s="17" t="s">
        <v>292</v>
      </c>
      <c r="C124" s="17"/>
      <c r="D124" s="7">
        <f t="shared" ref="D124:O124" si="20">IFERROR(SUM(D120:D123), 0)</f>
        <v>-44341.183013928858</v>
      </c>
      <c r="E124" s="7">
        <f t="shared" si="20"/>
        <v>95598.067968618154</v>
      </c>
      <c r="F124" s="7">
        <f t="shared" si="20"/>
        <v>132222.40701517343</v>
      </c>
      <c r="G124" s="7">
        <f t="shared" si="20"/>
        <v>-87875.800652460079</v>
      </c>
      <c r="H124" s="7">
        <f t="shared" si="20"/>
        <v>47581.921358845131</v>
      </c>
      <c r="I124" s="7">
        <f t="shared" si="20"/>
        <v>-69384.854897002573</v>
      </c>
      <c r="J124" s="7">
        <f t="shared" si="20"/>
        <v>70488.341275518847</v>
      </c>
      <c r="K124" s="7">
        <f t="shared" si="20"/>
        <v>72257.165375814177</v>
      </c>
      <c r="L124" s="7">
        <f t="shared" si="20"/>
        <v>-61247.584277763053</v>
      </c>
      <c r="M124" s="7">
        <f t="shared" si="20"/>
        <v>-71315.340094288258</v>
      </c>
      <c r="N124" s="7">
        <f t="shared" si="20"/>
        <v>-77595.8442520182</v>
      </c>
      <c r="O124" s="7">
        <f t="shared" si="20"/>
        <v>-68896.182194554611</v>
      </c>
      <c r="Q124" s="7">
        <f>IFERROR(SUM(Q120:Q123), 0)</f>
        <v>-62493.910248027598</v>
      </c>
    </row>
    <row r="125" spans="1:17" ht="15.75" thickTop="1" x14ac:dyDescent="0.25">
      <c r="A125" s="5"/>
      <c r="C125" s="5"/>
      <c r="D125" s="4">
        <f t="shared" ref="D125:O125" si="21">IFERROR(D124/D10, 0)</f>
        <v>-0.92303314283210935</v>
      </c>
      <c r="E125" s="4">
        <f t="shared" si="21"/>
        <v>7.7968681638286685E-2</v>
      </c>
      <c r="F125" s="4">
        <f t="shared" si="21"/>
        <v>0.55701752001447091</v>
      </c>
      <c r="G125" s="4">
        <f t="shared" si="21"/>
        <v>-2.5707276622245314</v>
      </c>
      <c r="H125" s="4">
        <f t="shared" si="21"/>
        <v>5.5820136152983153</v>
      </c>
      <c r="I125" s="4">
        <f t="shared" si="21"/>
        <v>-3.9151179050225782</v>
      </c>
      <c r="J125" s="4">
        <f t="shared" si="21"/>
        <v>7.1275590867994468E-2</v>
      </c>
      <c r="K125" s="4">
        <f t="shared" si="21"/>
        <v>0.92538766537425177</v>
      </c>
      <c r="L125" s="4">
        <f t="shared" si="21"/>
        <v>-4.0845501400981306</v>
      </c>
      <c r="M125" s="4">
        <f t="shared" si="21"/>
        <v>-2.7802026692113864</v>
      </c>
      <c r="N125" s="4">
        <f t="shared" si="21"/>
        <v>-1.9045430263733987</v>
      </c>
      <c r="O125" s="4">
        <f t="shared" si="21"/>
        <v>-6.0351073673170417</v>
      </c>
      <c r="P125" s="18"/>
      <c r="Q125" s="4">
        <f>IFERROR(Q124/Q10, 0)</f>
        <v>-2.2876501376621488E-2</v>
      </c>
    </row>
    <row r="126" spans="1:17" x14ac:dyDescent="0.25">
      <c r="A126" s="5"/>
      <c r="B126" s="27">
        <v>44330.012668668984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31" t="s">
        <v>54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A128" s="5"/>
      <c r="B128" s="26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  <row r="129" spans="4:17" x14ac:dyDescent="0.25"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Q12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SUM(OSRRefD11x_7)</f>
        <v>62437.9</v>
      </c>
      <c r="L10" s="3">
        <f>SUM(OSRRefD11x_8)</f>
        <v>11679.949999999997</v>
      </c>
      <c r="M10" s="3">
        <f>SUM(OSRRefD11x_9)</f>
        <v>36803.30999999999</v>
      </c>
      <c r="N10" s="3">
        <f>SUM(OSRRefE11x_0)</f>
        <v>34555</v>
      </c>
      <c r="O10" s="3">
        <f>SUM(OSRRefE11x_1)</f>
        <v>14981</v>
      </c>
      <c r="P10" s="24"/>
      <c r="Q10" s="3">
        <f>SUM(OSRRefG11x)</f>
        <v>1964092.7099999997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v>34555</v>
      </c>
      <c r="O11" s="2">
        <v>14981</v>
      </c>
      <c r="Q11" s="2">
        <f>SUM(OSRRefD11_0x)+IFERROR(SUM(OSRRefE11_0x),0)</f>
        <v>40957.279999999999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>
        <f>--28416.36</f>
        <v>28416.36</v>
      </c>
      <c r="L12" s="2">
        <f>--6992.23</f>
        <v>6992.23</v>
      </c>
      <c r="M12" s="2">
        <f>--30794.67</f>
        <v>30794.67</v>
      </c>
      <c r="N12" s="2"/>
      <c r="O12" s="2"/>
      <c r="Q12" s="2">
        <f>SUM(OSRRefD11_1x)+IFERROR(SUM(OSRRefE11_1x),0)</f>
        <v>999804.98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>
        <f>--8916.76</f>
        <v>8916.76</v>
      </c>
      <c r="L13" s="2">
        <f>--1145.4</f>
        <v>1145.4000000000001</v>
      </c>
      <c r="M13" s="2">
        <f>--1290.6</f>
        <v>1290.5999999999999</v>
      </c>
      <c r="N13" s="2"/>
      <c r="O13" s="2"/>
      <c r="Q13" s="2">
        <f>SUM(OSRRefD11_2x)+IFERROR(SUM(OSRRefE11_2x),0)</f>
        <v>351532.97</v>
      </c>
    </row>
    <row r="14" spans="1:18" s="9" customFormat="1" hidden="1" outlineLevel="1" x14ac:dyDescent="0.25">
      <c r="A14" s="23"/>
      <c r="B14" s="10" t="str">
        <f>CONCATENATE("          ","4003", " - ","TAXABLE SALES-RENTAL TEXT")</f>
        <v xml:space="preserve">          4003 - TAXABLE SALES-RENTAL TEXT</v>
      </c>
      <c r="C14" s="22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/>
      <c r="O14" s="2"/>
      <c r="Q14" s="2">
        <f>SUM(OSRRefD11_3x)+IFERROR(SUM(OSRRefE11_3x),0)</f>
        <v>17997.88</v>
      </c>
    </row>
    <row r="15" spans="1:18" s="9" customFormat="1" hidden="1" outlineLevel="1" x14ac:dyDescent="0.25">
      <c r="A15" s="23"/>
      <c r="B15" s="10" t="str">
        <f>CONCATENATE("          ","4004", " - ","TAXABLE SALES-DIGITAL TEXT")</f>
        <v xml:space="preserve">          4004 - TAXABLE SALES-DIGITAL TEXT</v>
      </c>
      <c r="C15" s="22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M15" si="2">0</f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3"/>
      <c r="B16" s="10" t="str">
        <f>CONCATENATE("          ","4013", " - ","TAXABLE SALES-TRADE BOOKS")</f>
        <v xml:space="preserve">          4013 - TAXABLE SALES-TRADE BOOKS</v>
      </c>
      <c r="C16" s="22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/>
      <c r="O16" s="2"/>
      <c r="Q16" s="2">
        <f>SUM(OSRRefD11_5x)+IFERROR(SUM(OSRRefE11_5x),0)</f>
        <v>1263.83</v>
      </c>
    </row>
    <row r="17" spans="1:17" s="9" customFormat="1" hidden="1" outlineLevel="1" x14ac:dyDescent="0.25">
      <c r="A17" s="23"/>
      <c r="B17" s="10" t="str">
        <f>CONCATENATE("          ","4014", " - ","TAXABLE SALES-REMAINDERS")</f>
        <v xml:space="preserve">          4014 - TAXABLE SALES-REMAINDERS</v>
      </c>
      <c r="C17" s="22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/>
      <c r="O17" s="2"/>
      <c r="Q17" s="2">
        <f>SUM(OSRRefD11_6x)+IFERROR(SUM(OSRRefE11_6x),0)</f>
        <v>484.55</v>
      </c>
    </row>
    <row r="18" spans="1:17" s="9" customFormat="1" hidden="1" outlineLevel="1" x14ac:dyDescent="0.25">
      <c r="A18" s="23"/>
      <c r="B18" s="10" t="str">
        <f>CONCATENATE("          ","4018", " - ","TAXABLE SALES-STUDY GUIDES")</f>
        <v xml:space="preserve">          4018 - TAXABLE SALES-STUDY GUIDES</v>
      </c>
      <c r="C18" s="22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/>
      <c r="O18" s="2"/>
      <c r="Q18" s="2">
        <f>SUM(OSRRefD11_7x)+IFERROR(SUM(OSRRefE11_7x),0)</f>
        <v>473.09999999999997</v>
      </c>
    </row>
    <row r="19" spans="1:17" s="9" customFormat="1" hidden="1" outlineLevel="1" x14ac:dyDescent="0.25">
      <c r="A19" s="23"/>
      <c r="B19" s="10" t="str">
        <f>CONCATENATE("          ","4101", " - ","NON-TAXABLE SALES-NEW TEXT")</f>
        <v xml:space="preserve">          4101 - NON-TAXABLE SALES-NEW TEXT</v>
      </c>
      <c r="C19" s="22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>
        <f>--6785.91</f>
        <v>6785.91</v>
      </c>
      <c r="L19" s="2">
        <f>--1044.17</f>
        <v>1044.17</v>
      </c>
      <c r="M19" s="2">
        <f>--741.03</f>
        <v>741.03</v>
      </c>
      <c r="N19" s="2"/>
      <c r="O19" s="2"/>
      <c r="Q19" s="2">
        <f>SUM(OSRRefD11_8x)+IFERROR(SUM(OSRRefE11_8x),0)</f>
        <v>112796.74</v>
      </c>
    </row>
    <row r="20" spans="1:17" s="9" customFormat="1" hidden="1" outlineLevel="1" x14ac:dyDescent="0.25">
      <c r="A20" s="23"/>
      <c r="B20" s="10" t="str">
        <f>CONCATENATE("          ","4102", " - ","NON-TAXABLE SALES-USED TEXT")</f>
        <v xml:space="preserve">          4102 - NON-TAXABLE SALES-USED TEXT</v>
      </c>
      <c r="C20" s="22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>
        <f>--3426.05</f>
        <v>3426.05</v>
      </c>
      <c r="L20" s="2">
        <f>--1572.06</f>
        <v>1572.06</v>
      </c>
      <c r="M20" s="2">
        <f>--743.99</f>
        <v>743.99</v>
      </c>
      <c r="N20" s="2"/>
      <c r="O20" s="2"/>
      <c r="Q20" s="2">
        <f>SUM(OSRRefD11_9x)+IFERROR(SUM(OSRRefE11_9x),0)</f>
        <v>48703.420000000006</v>
      </c>
    </row>
    <row r="21" spans="1:17" s="9" customFormat="1" hidden="1" outlineLevel="1" x14ac:dyDescent="0.25">
      <c r="A21" s="23"/>
      <c r="B21" s="10" t="str">
        <f>CONCATENATE("          ","4103", " - ","NON-TAXABLE SALES-RENTAL TEXT")</f>
        <v xml:space="preserve">          4103 - NON-TAXABLE SALES-RENTAL TEXT</v>
      </c>
      <c r="C21" s="22"/>
      <c r="D21" s="2">
        <f t="shared" ref="D21:E21" si="4">0</f>
        <v>0</v>
      </c>
      <c r="E21" s="2">
        <f t="shared" si="4"/>
        <v>0</v>
      </c>
      <c r="F21" s="2">
        <f>--284.97</f>
        <v>284.97000000000003</v>
      </c>
      <c r="G21" s="2">
        <f t="shared" ref="G21:I21" si="5">0</f>
        <v>0</v>
      </c>
      <c r="H21" s="2">
        <f t="shared" si="5"/>
        <v>0</v>
      </c>
      <c r="I21" s="2">
        <f t="shared" si="5"/>
        <v>0</v>
      </c>
      <c r="J21" s="2">
        <f>--853.98</f>
        <v>853.98</v>
      </c>
      <c r="K21" s="2">
        <f t="shared" ref="K21:M21" si="6">0</f>
        <v>0</v>
      </c>
      <c r="L21" s="2">
        <f t="shared" si="6"/>
        <v>0</v>
      </c>
      <c r="M21" s="2">
        <f t="shared" si="6"/>
        <v>0</v>
      </c>
      <c r="N21" s="2"/>
      <c r="O21" s="2"/>
      <c r="Q21" s="2">
        <f>SUM(OSRRefD11_10x)+IFERROR(SUM(OSRRefE11_10x),0)</f>
        <v>1138.95</v>
      </c>
    </row>
    <row r="22" spans="1:17" s="9" customFormat="1" hidden="1" outlineLevel="1" x14ac:dyDescent="0.25">
      <c r="A22" s="23"/>
      <c r="B22" s="10" t="str">
        <f>CONCATENATE("          ","4104", " - ","NON-TAXABLE SALES-DIGITAL TEXT")</f>
        <v xml:space="preserve">          4104 - NON-TAXABLE SALES-DIGITAL TEXT</v>
      </c>
      <c r="C22" s="22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>
        <f>--17705.92</f>
        <v>17705.919999999998</v>
      </c>
      <c r="L22" s="2">
        <f>--1097.13</f>
        <v>1097.1300000000001</v>
      </c>
      <c r="M22" s="2">
        <f>--3431.99</f>
        <v>3431.99</v>
      </c>
      <c r="N22" s="2"/>
      <c r="O22" s="2"/>
      <c r="Q22" s="2">
        <f>SUM(OSRRefD11_11x)+IFERROR(SUM(OSRRefE11_11x),0)</f>
        <v>480403.16999999993</v>
      </c>
    </row>
    <row r="23" spans="1:17" s="9" customFormat="1" hidden="1" outlineLevel="1" x14ac:dyDescent="0.25">
      <c r="A23" s="23"/>
      <c r="B23" s="10" t="str">
        <f>CONCATENATE("          ","4113", " - ","NON-TAXABLE SALES-TRADE BOOKS")</f>
        <v xml:space="preserve">          4113 - NON-TAXABLE SALES-TRADE BOOKS</v>
      </c>
      <c r="C23" s="22"/>
      <c r="D23" s="2">
        <f t="shared" ref="D23:F23" si="7">0</f>
        <v>0</v>
      </c>
      <c r="E23" s="2">
        <f t="shared" si="7"/>
        <v>0</v>
      </c>
      <c r="F23" s="2">
        <f t="shared" si="7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>
        <f>--3150</f>
        <v>3150</v>
      </c>
      <c r="L23" s="2">
        <f>--1250</f>
        <v>1250</v>
      </c>
      <c r="M23" s="2">
        <f>--738</f>
        <v>738</v>
      </c>
      <c r="N23" s="2"/>
      <c r="O23" s="2"/>
      <c r="Q23" s="2">
        <f>SUM(OSRRefD11_12x)+IFERROR(SUM(OSRRefE11_12x),0)</f>
        <v>12127.25</v>
      </c>
    </row>
    <row r="24" spans="1:17" s="9" customFormat="1" hidden="1" outlineLevel="1" x14ac:dyDescent="0.25">
      <c r="A24" s="23"/>
      <c r="B24" s="10" t="str">
        <f>CONCATENATE("          ","4118", " - ","NON-TAXABLE SALES-STUDY GUIDES")</f>
        <v xml:space="preserve">          4118 - NON-TAXABLE SALES-STUDY GUIDES</v>
      </c>
      <c r="C24" s="22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>
        <f t="shared" ref="K24:M24" si="8">0</f>
        <v>0</v>
      </c>
      <c r="L24" s="2">
        <f t="shared" si="8"/>
        <v>0</v>
      </c>
      <c r="M24" s="2">
        <f t="shared" si="8"/>
        <v>0</v>
      </c>
      <c r="N24" s="2"/>
      <c r="O24" s="2"/>
      <c r="Q24" s="2">
        <f>SUM(OSRRefD11_13x)+IFERROR(SUM(OSRRefE11_13x),0)</f>
        <v>771.73</v>
      </c>
    </row>
    <row r="25" spans="1:17" s="9" customFormat="1" hidden="1" outlineLevel="1" x14ac:dyDescent="0.25">
      <c r="A25" s="23"/>
      <c r="B25" s="10" t="str">
        <f>CONCATENATE("          ","4201", " - ","SALES RETURN TAXABLE-NEW TEXT")</f>
        <v xml:space="preserve">          4201 - SALES RETURN TAXABLE-NEW TEXT</v>
      </c>
      <c r="C25" s="22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>
        <f>-2146.49</f>
        <v>-2146.4899999999998</v>
      </c>
      <c r="L25" s="2">
        <f>-596.94</f>
        <v>-596.94000000000005</v>
      </c>
      <c r="M25" s="2">
        <f>-376.85</f>
        <v>-376.85</v>
      </c>
      <c r="N25" s="2"/>
      <c r="O25" s="2"/>
      <c r="Q25" s="2">
        <f>SUM(OSRRefD11_14x)+IFERROR(SUM(OSRRefE11_14x),0)</f>
        <v>-51638.020000000004</v>
      </c>
    </row>
    <row r="26" spans="1:17" s="9" customFormat="1" hidden="1" outlineLevel="1" x14ac:dyDescent="0.25">
      <c r="A26" s="23"/>
      <c r="B26" s="10" t="str">
        <f>CONCATENATE("          ","4202", " - ","SALES RETURN TAXABLE-USED TEXT")</f>
        <v xml:space="preserve">          4202 - SALES RETURN TAXABLE-USED TEXT</v>
      </c>
      <c r="C26" s="22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>
        <f>-1199.21</f>
        <v>-1199.21</v>
      </c>
      <c r="L26" s="2">
        <f>-153.8</f>
        <v>-153.80000000000001</v>
      </c>
      <c r="M26" s="2">
        <f>-206.95</f>
        <v>-206.95</v>
      </c>
      <c r="N26" s="2"/>
      <c r="O26" s="2"/>
      <c r="Q26" s="2">
        <f>SUM(OSRRefD11_15x)+IFERROR(SUM(OSRRefE11_15x),0)</f>
        <v>-20096.259999999998</v>
      </c>
    </row>
    <row r="27" spans="1:17" s="9" customFormat="1" hidden="1" outlineLevel="1" x14ac:dyDescent="0.25">
      <c r="A27" s="23"/>
      <c r="B27" s="10" t="str">
        <f>CONCATENATE("          ","4204", " - ","SALES RETURN TAXABLE-DIGITAL T")</f>
        <v xml:space="preserve">          4204 - SALES RETURN TAXABLE-DIGITAL T</v>
      </c>
      <c r="C27" s="22"/>
      <c r="D27" s="2">
        <f t="shared" ref="D27:D30" si="9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30" si="10">0</f>
        <v>0</v>
      </c>
      <c r="I27" s="2">
        <f t="shared" ref="I27:J29" si="11">0</f>
        <v>0</v>
      </c>
      <c r="J27" s="2">
        <f t="shared" si="11"/>
        <v>0</v>
      </c>
      <c r="K27" s="2">
        <f>-132.25</f>
        <v>-132.25</v>
      </c>
      <c r="L27" s="2">
        <f t="shared" ref="L27:M28" si="12">0</f>
        <v>0</v>
      </c>
      <c r="M27" s="2">
        <f t="shared" si="12"/>
        <v>0</v>
      </c>
      <c r="N27" s="2"/>
      <c r="O27" s="2"/>
      <c r="Q27" s="2">
        <f>SUM(OSRRefD11_16x)+IFERROR(SUM(OSRRefE11_16x),0)</f>
        <v>-1763.1</v>
      </c>
    </row>
    <row r="28" spans="1:17" s="9" customFormat="1" hidden="1" outlineLevel="1" x14ac:dyDescent="0.25">
      <c r="A28" s="23"/>
      <c r="B28" s="10" t="str">
        <f>CONCATENATE("          ","4213", " - ","NON-TAXABLE SALES-TRADE BOOKS")</f>
        <v xml:space="preserve">          4213 - NON-TAXABLE SALES-TRADE BOOKS</v>
      </c>
      <c r="C28" s="22"/>
      <c r="D28" s="2">
        <f t="shared" si="9"/>
        <v>0</v>
      </c>
      <c r="E28" s="2">
        <f t="shared" ref="E28:G29" si="13">0</f>
        <v>0</v>
      </c>
      <c r="F28" s="2">
        <f t="shared" si="13"/>
        <v>0</v>
      </c>
      <c r="G28" s="2">
        <f t="shared" si="13"/>
        <v>0</v>
      </c>
      <c r="H28" s="2">
        <f t="shared" si="10"/>
        <v>0</v>
      </c>
      <c r="I28" s="2">
        <f t="shared" si="11"/>
        <v>0</v>
      </c>
      <c r="J28" s="2">
        <f t="shared" si="11"/>
        <v>0</v>
      </c>
      <c r="K28" s="2">
        <f>-69.93</f>
        <v>-69.930000000000007</v>
      </c>
      <c r="L28" s="2">
        <f t="shared" si="12"/>
        <v>0</v>
      </c>
      <c r="M28" s="2">
        <f t="shared" si="12"/>
        <v>0</v>
      </c>
      <c r="N28" s="2"/>
      <c r="O28" s="2"/>
      <c r="Q28" s="2">
        <f>SUM(OSRRefD11_17x)+IFERROR(SUM(OSRRefE11_17x),0)</f>
        <v>-69.930000000000007</v>
      </c>
    </row>
    <row r="29" spans="1:17" s="9" customFormat="1" hidden="1" outlineLevel="1" x14ac:dyDescent="0.25">
      <c r="A29" s="23"/>
      <c r="B29" s="10" t="str">
        <f>CONCATENATE("          ","4218", " - ","SALES RETURN TAXABLE-STUDY GUI")</f>
        <v xml:space="preserve">          4218 - SALES RETURN TAXABLE-STUDY GUI</v>
      </c>
      <c r="C29" s="22"/>
      <c r="D29" s="2">
        <f t="shared" si="9"/>
        <v>0</v>
      </c>
      <c r="E29" s="2">
        <f t="shared" si="13"/>
        <v>0</v>
      </c>
      <c r="F29" s="2">
        <f t="shared" si="13"/>
        <v>0</v>
      </c>
      <c r="G29" s="2">
        <f t="shared" si="13"/>
        <v>0</v>
      </c>
      <c r="H29" s="2">
        <f t="shared" si="10"/>
        <v>0</v>
      </c>
      <c r="I29" s="2">
        <f t="shared" si="11"/>
        <v>0</v>
      </c>
      <c r="J29" s="2">
        <f t="shared" si="11"/>
        <v>0</v>
      </c>
      <c r="K29" s="2">
        <f>0</f>
        <v>0</v>
      </c>
      <c r="L29" s="2">
        <f>-5.21</f>
        <v>-5.21</v>
      </c>
      <c r="M29" s="2">
        <f>0</f>
        <v>0</v>
      </c>
      <c r="N29" s="2"/>
      <c r="O29" s="2"/>
      <c r="Q29" s="2">
        <f>SUM(OSRRefD11_18x)+IFERROR(SUM(OSRRefE11_18x),0)</f>
        <v>-5.21</v>
      </c>
    </row>
    <row r="30" spans="1:17" s="9" customFormat="1" hidden="1" outlineLevel="1" x14ac:dyDescent="0.25">
      <c r="A30" s="23"/>
      <c r="B30" s="10" t="str">
        <f>CONCATENATE("          ","4301", " - ","SALES RETURN NON TAXABLE-NEW T")</f>
        <v xml:space="preserve">          4301 - SALES RETURN NON TAXABLE-NEW T</v>
      </c>
      <c r="C30" s="22"/>
      <c r="D30" s="2">
        <f t="shared" si="9"/>
        <v>0</v>
      </c>
      <c r="E30" s="2">
        <f>-20.25</f>
        <v>-20.25</v>
      </c>
      <c r="F30" s="2">
        <f>-1820.43</f>
        <v>-1820.43</v>
      </c>
      <c r="G30" s="2">
        <f>-535.49</f>
        <v>-535.49</v>
      </c>
      <c r="H30" s="2">
        <f t="shared" si="10"/>
        <v>0</v>
      </c>
      <c r="I30" s="2">
        <f>-372.93</f>
        <v>-372.93</v>
      </c>
      <c r="J30" s="2">
        <f>-256.69</f>
        <v>-256.69</v>
      </c>
      <c r="K30" s="2">
        <f>-231.5</f>
        <v>-231.5</v>
      </c>
      <c r="L30" s="2">
        <f>0</f>
        <v>0</v>
      </c>
      <c r="M30" s="2">
        <f>-225.91</f>
        <v>-225.91</v>
      </c>
      <c r="N30" s="2"/>
      <c r="O30" s="2"/>
      <c r="Q30" s="2">
        <f>SUM(OSRRefD11_19x)+IFERROR(SUM(OSRRefE11_19x),0)</f>
        <v>-3463.2</v>
      </c>
    </row>
    <row r="31" spans="1:17" s="9" customFormat="1" hidden="1" outlineLevel="1" x14ac:dyDescent="0.25">
      <c r="A31" s="23"/>
      <c r="B31" s="10" t="str">
        <f>CONCATENATE("          ","4302", " - ","SALES RETURN NON TAXABLE-TEXT")</f>
        <v xml:space="preserve">          4302 - SALES RETURN NON TAXABLE-TEXT</v>
      </c>
      <c r="C31" s="22"/>
      <c r="D31" s="2">
        <f>-63.67</f>
        <v>-63.67</v>
      </c>
      <c r="E31" s="2">
        <f>-346.17</f>
        <v>-346.17</v>
      </c>
      <c r="F31" s="2">
        <f>-737.24</f>
        <v>-737.24</v>
      </c>
      <c r="G31" s="2">
        <f>-169.72</f>
        <v>-169.72</v>
      </c>
      <c r="H31" s="2">
        <f>-76.05</f>
        <v>-76.05</v>
      </c>
      <c r="I31" s="2">
        <f>-77.35</f>
        <v>-77.349999999999994</v>
      </c>
      <c r="J31" s="2">
        <f>-532.96</f>
        <v>-532.96</v>
      </c>
      <c r="K31" s="2">
        <f>-70.32</f>
        <v>-70.319999999999993</v>
      </c>
      <c r="L31" s="2">
        <f>-270.87</f>
        <v>-270.87</v>
      </c>
      <c r="M31" s="2">
        <f>-98.97</f>
        <v>-98.97</v>
      </c>
      <c r="N31" s="2"/>
      <c r="O31" s="2"/>
      <c r="Q31" s="2">
        <f>SUM(OSRRefD11_20x)+IFERROR(SUM(OSRRefE11_20x),0)</f>
        <v>-2443.3199999999997</v>
      </c>
    </row>
    <row r="32" spans="1:17" s="9" customFormat="1" hidden="1" outlineLevel="1" x14ac:dyDescent="0.25">
      <c r="A32" s="23"/>
      <c r="B32" s="10" t="str">
        <f>CONCATENATE("          ","4304", " - ","SALES RETURN NON TAXABLE-DIGIT")</f>
        <v xml:space="preserve">          4304 - SALES RETURN NON TAXABLE-DIGIT</v>
      </c>
      <c r="C32" s="22"/>
      <c r="D32" s="2">
        <f>-452.05</f>
        <v>-452.05</v>
      </c>
      <c r="E32" s="2">
        <f>-5500.68</f>
        <v>-5500.68</v>
      </c>
      <c r="F32" s="2">
        <f>-7456.63</f>
        <v>-7456.63</v>
      </c>
      <c r="G32" s="2">
        <f>-692.75</f>
        <v>-692.75</v>
      </c>
      <c r="H32" s="2">
        <f>-176.43</f>
        <v>-176.43</v>
      </c>
      <c r="I32" s="2">
        <f>-144.23</f>
        <v>-144.22999999999999</v>
      </c>
      <c r="J32" s="2">
        <f>-10673</f>
        <v>-10673</v>
      </c>
      <c r="K32" s="2">
        <f>-2172.95</f>
        <v>-2172.9499999999998</v>
      </c>
      <c r="L32" s="2">
        <f>-275.04</f>
        <v>-275.04000000000002</v>
      </c>
      <c r="M32" s="2">
        <f>0</f>
        <v>0</v>
      </c>
      <c r="N32" s="2"/>
      <c r="O32" s="2"/>
      <c r="Q32" s="2">
        <f>SUM(OSRRefD11_21x)+IFERROR(SUM(OSRRefE11_21x),0)</f>
        <v>-27543.760000000002</v>
      </c>
    </row>
    <row r="33" spans="1:17" x14ac:dyDescent="0.2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9" customFormat="1" collapsed="1" x14ac:dyDescent="0.25">
      <c r="A34" s="23"/>
      <c r="B34" s="16" t="s">
        <v>217</v>
      </c>
      <c r="C34" s="22"/>
      <c r="D34" s="3">
        <f>SUM(OSRRefD14x_0)</f>
        <v>26088.000000000015</v>
      </c>
      <c r="E34" s="3">
        <f>SUM(OSRRefD14x_1)</f>
        <v>581368.00000000012</v>
      </c>
      <c r="F34" s="3">
        <f>SUM(OSRRefD14x_2)</f>
        <v>130513.00000000003</v>
      </c>
      <c r="G34" s="3">
        <f>SUM(OSRRefD14x_3)</f>
        <v>24961.999999999985</v>
      </c>
      <c r="H34" s="3">
        <f>SUM(OSRRefD14x_4)</f>
        <v>6147.00000000004</v>
      </c>
      <c r="I34" s="3">
        <f>SUM(OSRRefD14x_5)</f>
        <v>10618.999999999985</v>
      </c>
      <c r="J34" s="3">
        <f>SUM(OSRRefD14x_6)</f>
        <v>499754.00000000006</v>
      </c>
      <c r="K34" s="3">
        <f>SUM(OSRRefD14x_7)</f>
        <v>41956.999999999978</v>
      </c>
      <c r="L34" s="3">
        <f>SUM(OSRRefD14x_8)</f>
        <v>8920.0000000000182</v>
      </c>
      <c r="M34" s="3">
        <f>SUM(OSRRefD14x_9)</f>
        <v>30994.000000000022</v>
      </c>
      <c r="N34" s="3">
        <f>SUM(OSRRefE14x_0)</f>
        <v>25225</v>
      </c>
      <c r="O34" s="3">
        <f>SUM(OSRRefE14x_1)</f>
        <v>10936</v>
      </c>
      <c r="Q34" s="3">
        <f>SUM(OSRRefG14x)</f>
        <v>1397482.9999999998</v>
      </c>
    </row>
    <row r="35" spans="1:17" s="9" customFormat="1" hidden="1" outlineLevel="1" x14ac:dyDescent="0.25">
      <c r="A35" s="23"/>
      <c r="B35" s="10" t="str">
        <f>CONCATENATE("          ","5000", " - ","PURCHASES @ COST")</f>
        <v xml:space="preserve">          5000 - PURCHASES @ COST</v>
      </c>
      <c r="C35" s="22"/>
      <c r="D35" s="2"/>
      <c r="E35" s="2"/>
      <c r="F35" s="2">
        <v>0</v>
      </c>
      <c r="G35" s="2">
        <v>0</v>
      </c>
      <c r="H35" s="2"/>
      <c r="I35" s="2"/>
      <c r="J35" s="2">
        <v>0</v>
      </c>
      <c r="K35" s="2"/>
      <c r="L35" s="2">
        <v>0</v>
      </c>
      <c r="M35" s="2"/>
      <c r="N35" s="2">
        <v>25225</v>
      </c>
      <c r="O35" s="2">
        <v>10936</v>
      </c>
      <c r="Q35" s="2">
        <f>SUM(OSRRefD14_0x)+IFERROR(SUM(OSRRefE14_0x),0)</f>
        <v>36161</v>
      </c>
    </row>
    <row r="36" spans="1:17" s="9" customFormat="1" hidden="1" outlineLevel="1" x14ac:dyDescent="0.25">
      <c r="A36" s="23"/>
      <c r="B36" s="10" t="str">
        <f>CONCATENATE("          ","5001", " - ","PURCHASES @ COST-NEW TEXT")</f>
        <v xml:space="preserve">          5001 - PURCHASES @ COST-NEW TEXT</v>
      </c>
      <c r="C36" s="22"/>
      <c r="D36" s="2">
        <v>151457.41</v>
      </c>
      <c r="E36" s="2">
        <v>363486.5</v>
      </c>
      <c r="F36" s="2">
        <v>575285.49</v>
      </c>
      <c r="G36" s="2">
        <v>54515.57</v>
      </c>
      <c r="H36" s="2">
        <v>-108529.53</v>
      </c>
      <c r="I36" s="2">
        <v>37326.239999999998</v>
      </c>
      <c r="J36" s="2">
        <v>292656.37</v>
      </c>
      <c r="K36" s="2">
        <v>-339987.31</v>
      </c>
      <c r="L36" s="2">
        <v>-291124.47999999998</v>
      </c>
      <c r="M36" s="2">
        <v>-29098.82</v>
      </c>
      <c r="N36" s="2"/>
      <c r="O36" s="2"/>
      <c r="Q36" s="2">
        <f>SUM(OSRRefD14_1x)+IFERROR(SUM(OSRRefE14_1x),0)</f>
        <v>705987.43999999983</v>
      </c>
    </row>
    <row r="37" spans="1:17" s="9" customFormat="1" hidden="1" outlineLevel="1" x14ac:dyDescent="0.25">
      <c r="A37" s="23"/>
      <c r="B37" s="10" t="str">
        <f>CONCATENATE("          ","5002", " - ","PURCHASES @ COST-USED TEXT")</f>
        <v xml:space="preserve">          5002 - PURCHASES @ COST-USED TEXT</v>
      </c>
      <c r="C37" s="22"/>
      <c r="D37" s="2">
        <v>57248.79</v>
      </c>
      <c r="E37" s="2">
        <v>-8215.75</v>
      </c>
      <c r="F37" s="2">
        <v>108363.86</v>
      </c>
      <c r="G37" s="2">
        <v>6331.95</v>
      </c>
      <c r="H37" s="2">
        <v>-209276.59</v>
      </c>
      <c r="I37" s="2">
        <v>71384.87</v>
      </c>
      <c r="J37" s="2">
        <v>-2814.66</v>
      </c>
      <c r="K37" s="2">
        <v>117407.3</v>
      </c>
      <c r="L37" s="2">
        <v>14130.32</v>
      </c>
      <c r="M37" s="2">
        <v>-122237.26</v>
      </c>
      <c r="N37" s="2"/>
      <c r="O37" s="2"/>
      <c r="Q37" s="2">
        <f>SUM(OSRRefD14_2x)+IFERROR(SUM(OSRRefE14_2x),0)</f>
        <v>32322.830000000031</v>
      </c>
    </row>
    <row r="38" spans="1:17" s="9" customFormat="1" hidden="1" outlineLevel="1" x14ac:dyDescent="0.25">
      <c r="A38" s="23"/>
      <c r="B38" s="10" t="str">
        <f>CONCATENATE("          ","5003", " - ","PURCHASES @ COST-RENTAL TEXT")</f>
        <v xml:space="preserve">          5003 - PURCHASES @ COST-RENTAL TEXT</v>
      </c>
      <c r="C38" s="22"/>
      <c r="D38" s="2">
        <v>-11926.64</v>
      </c>
      <c r="E38" s="2">
        <v>58.8</v>
      </c>
      <c r="F38" s="2">
        <v>781.74</v>
      </c>
      <c r="G38" s="2">
        <v>10600.69</v>
      </c>
      <c r="H38" s="2">
        <v>517.92999999999995</v>
      </c>
      <c r="I38" s="2"/>
      <c r="J38" s="2"/>
      <c r="K38" s="2"/>
      <c r="L38" s="2"/>
      <c r="M38" s="2"/>
      <c r="N38" s="2"/>
      <c r="O38" s="2"/>
      <c r="Q38" s="2">
        <f>SUM(OSRRefD14_3x)+IFERROR(SUM(OSRRefE14_3x),0)</f>
        <v>32.520000000000095</v>
      </c>
    </row>
    <row r="39" spans="1:17" s="9" customFormat="1" hidden="1" outlineLevel="1" x14ac:dyDescent="0.25">
      <c r="A39" s="23"/>
      <c r="B39" s="10" t="str">
        <f>CONCATENATE("          ","5004", " - ","PURCHASES @ COST-DIGITAL TEXT")</f>
        <v xml:space="preserve">          5004 - PURCHASES @ COST-DIGITAL TEXT</v>
      </c>
      <c r="C39" s="22"/>
      <c r="D39" s="2">
        <v>4925.4799999999996</v>
      </c>
      <c r="E39" s="2">
        <v>117504.49</v>
      </c>
      <c r="F39" s="2">
        <v>60186.1</v>
      </c>
      <c r="G39" s="2">
        <v>12903.46</v>
      </c>
      <c r="H39" s="2">
        <v>1418.58</v>
      </c>
      <c r="I39" s="2">
        <v>900</v>
      </c>
      <c r="J39" s="2">
        <v>18888.45</v>
      </c>
      <c r="K39" s="2">
        <v>3282.02</v>
      </c>
      <c r="L39" s="2">
        <v>-13446.08</v>
      </c>
      <c r="M39" s="2">
        <v>887.88</v>
      </c>
      <c r="N39" s="2"/>
      <c r="O39" s="2"/>
      <c r="Q39" s="2">
        <f>SUM(OSRRefD14_4x)+IFERROR(SUM(OSRRefE14_4x),0)</f>
        <v>207450.38</v>
      </c>
    </row>
    <row r="40" spans="1:17" s="9" customFormat="1" hidden="1" outlineLevel="1" x14ac:dyDescent="0.25">
      <c r="A40" s="23"/>
      <c r="B40" s="10" t="str">
        <f>CONCATENATE("          ","5011", " - ","PURCHASES @ COST-NO VALUE TEXT")</f>
        <v xml:space="preserve">          5011 - PURCHASES @ COST-NO VALUE TEXT</v>
      </c>
      <c r="C40" s="22"/>
      <c r="D40" s="2"/>
      <c r="E40" s="2"/>
      <c r="F40" s="2"/>
      <c r="G40" s="2">
        <v>67.17</v>
      </c>
      <c r="H40" s="2"/>
      <c r="I40" s="2"/>
      <c r="J40" s="2"/>
      <c r="K40" s="2"/>
      <c r="L40" s="2"/>
      <c r="M40" s="2"/>
      <c r="N40" s="2"/>
      <c r="O40" s="2"/>
      <c r="Q40" s="2">
        <f>SUM(OSRRefD14_5x)+IFERROR(SUM(OSRRefE14_5x),0)</f>
        <v>67.17</v>
      </c>
    </row>
    <row r="41" spans="1:17" s="9" customFormat="1" hidden="1" outlineLevel="1" x14ac:dyDescent="0.25">
      <c r="A41" s="23"/>
      <c r="B41" s="10" t="str">
        <f>CONCATENATE("          ","5013", " - ","PURCHASES @ COST-TRADE BOOKS")</f>
        <v xml:space="preserve">          5013 - PURCHASES @ COST-TRADE BOOKS</v>
      </c>
      <c r="C41" s="22"/>
      <c r="D41" s="2">
        <v>108.54</v>
      </c>
      <c r="E41" s="2"/>
      <c r="F41" s="2">
        <v>-9.36</v>
      </c>
      <c r="G41" s="2">
        <v>1384.46</v>
      </c>
      <c r="H41" s="2">
        <v>611.1</v>
      </c>
      <c r="I41" s="2">
        <v>31.11</v>
      </c>
      <c r="J41" s="2">
        <v>3531.13</v>
      </c>
      <c r="K41" s="2">
        <v>305.11</v>
      </c>
      <c r="L41" s="2">
        <v>2907.93</v>
      </c>
      <c r="M41" s="2">
        <v>800</v>
      </c>
      <c r="N41" s="2"/>
      <c r="O41" s="2"/>
      <c r="Q41" s="2">
        <f>SUM(OSRRefD14_6x)+IFERROR(SUM(OSRRefE14_6x),0)</f>
        <v>9670.02</v>
      </c>
    </row>
    <row r="42" spans="1:17" s="9" customFormat="1" hidden="1" outlineLevel="1" x14ac:dyDescent="0.25">
      <c r="A42" s="23"/>
      <c r="B42" s="10" t="str">
        <f>CONCATENATE("          ","5014", " - ","PURCHASES @ COST-REMAINDERS")</f>
        <v xml:space="preserve">          5014 - PURCHASES @ COST-REMAINDERS</v>
      </c>
      <c r="C42" s="22"/>
      <c r="D42" s="2">
        <v>-12.51</v>
      </c>
      <c r="E42" s="2"/>
      <c r="F42" s="2"/>
      <c r="G42" s="2">
        <v>102.92</v>
      </c>
      <c r="H42" s="2"/>
      <c r="I42" s="2"/>
      <c r="J42" s="2"/>
      <c r="K42" s="2">
        <v>21.16</v>
      </c>
      <c r="L42" s="2"/>
      <c r="M42" s="2"/>
      <c r="N42" s="2"/>
      <c r="O42" s="2"/>
      <c r="Q42" s="2">
        <f>SUM(OSRRefD14_7x)+IFERROR(SUM(OSRRefE14_7x),0)</f>
        <v>111.57</v>
      </c>
    </row>
    <row r="43" spans="1:17" s="9" customFormat="1" hidden="1" outlineLevel="1" x14ac:dyDescent="0.25">
      <c r="A43" s="23"/>
      <c r="B43" s="10" t="str">
        <f>CONCATENATE("          ","5018", " - ","PURCHASES @ COST-STUDY GUIDES")</f>
        <v xml:space="preserve">          5018 - PURCHASES @ COST-STUDY GUIDES</v>
      </c>
      <c r="C43" s="22"/>
      <c r="D43" s="2"/>
      <c r="E43" s="2"/>
      <c r="F43" s="2"/>
      <c r="G43" s="2"/>
      <c r="H43" s="2">
        <v>106.34</v>
      </c>
      <c r="I43" s="2"/>
      <c r="J43" s="2">
        <v>416</v>
      </c>
      <c r="K43" s="2"/>
      <c r="L43" s="2">
        <v>444.87</v>
      </c>
      <c r="M43" s="2"/>
      <c r="N43" s="2"/>
      <c r="O43" s="2"/>
      <c r="Q43" s="2">
        <f>SUM(OSRRefD14_8x)+IFERROR(SUM(OSRRefE14_8x),0)</f>
        <v>967.21</v>
      </c>
    </row>
    <row r="44" spans="1:17" s="9" customFormat="1" hidden="1" outlineLevel="1" x14ac:dyDescent="0.25">
      <c r="A44" s="23"/>
      <c r="B44" s="10" t="str">
        <f>CONCATENATE("          ","5200", " - ","PURCHASES OFFSET")</f>
        <v xml:space="preserve">          5200 - PURCHASES OFFSET</v>
      </c>
      <c r="C44" s="22"/>
      <c r="D44" s="2">
        <v>-202651.68</v>
      </c>
      <c r="E44" s="2">
        <v>-478701.26</v>
      </c>
      <c r="F44" s="2">
        <v>-757174.69</v>
      </c>
      <c r="G44" s="2">
        <v>-111446.85</v>
      </c>
      <c r="H44" s="2">
        <v>313747.15000000002</v>
      </c>
      <c r="I44" s="2">
        <v>-114446.47</v>
      </c>
      <c r="J44" s="2">
        <v>-321969.3</v>
      </c>
      <c r="K44" s="2">
        <v>212842.2</v>
      </c>
      <c r="L44" s="2">
        <v>285586.77</v>
      </c>
      <c r="M44" s="2">
        <v>149318.16</v>
      </c>
      <c r="N44" s="2"/>
      <c r="O44" s="2"/>
      <c r="Q44" s="2">
        <f>SUM(OSRRefD14_9x)+IFERROR(SUM(OSRRefE14_9x),0)</f>
        <v>-1024895.9700000001</v>
      </c>
    </row>
    <row r="45" spans="1:17" s="9" customFormat="1" hidden="1" outlineLevel="1" x14ac:dyDescent="0.25">
      <c r="A45" s="23"/>
      <c r="B45" s="10" t="str">
        <f>CONCATENATE("          ","5300", " - ","COG$ OFFSET")</f>
        <v xml:space="preserve">          5300 - COG$ OFFSET</v>
      </c>
      <c r="C45" s="22"/>
      <c r="D45" s="2">
        <v>26088</v>
      </c>
      <c r="E45" s="2">
        <v>581368</v>
      </c>
      <c r="F45" s="2">
        <v>130513</v>
      </c>
      <c r="G45" s="2">
        <v>24962</v>
      </c>
      <c r="H45" s="2">
        <v>6147</v>
      </c>
      <c r="I45" s="2">
        <v>10619</v>
      </c>
      <c r="J45" s="2">
        <v>499754</v>
      </c>
      <c r="K45" s="2">
        <v>41957</v>
      </c>
      <c r="L45" s="2">
        <v>8920</v>
      </c>
      <c r="M45" s="2">
        <v>30994</v>
      </c>
      <c r="N45" s="2"/>
      <c r="O45" s="2"/>
      <c r="Q45" s="2">
        <f>SUM(OSRRefD14_10x)+IFERROR(SUM(OSRRefE14_10x),0)</f>
        <v>1361322</v>
      </c>
    </row>
    <row r="46" spans="1:17" s="9" customFormat="1" hidden="1" outlineLevel="1" x14ac:dyDescent="0.25">
      <c r="A46" s="23"/>
      <c r="B46" s="10" t="str">
        <f>CONCATENATE("          ","5500", " - ","FREIGHT-IN")</f>
        <v xml:space="preserve">          5500 - FREIGHT-IN</v>
      </c>
      <c r="C46" s="22"/>
      <c r="D46" s="2">
        <v>0</v>
      </c>
      <c r="E46" s="2">
        <v>0</v>
      </c>
      <c r="F46" s="2">
        <v>0</v>
      </c>
      <c r="G46" s="2"/>
      <c r="H46" s="2"/>
      <c r="I46" s="2">
        <v>0</v>
      </c>
      <c r="J46" s="2">
        <v>0</v>
      </c>
      <c r="K46" s="2">
        <v>0</v>
      </c>
      <c r="L46" s="2"/>
      <c r="M46" s="2"/>
      <c r="N46" s="2"/>
      <c r="O46" s="2"/>
      <c r="Q46" s="2">
        <f>SUM(OSRRefD14_11x)+IFERROR(SUM(OSRRefE14_11x),0)</f>
        <v>0</v>
      </c>
    </row>
    <row r="47" spans="1:17" s="9" customFormat="1" hidden="1" outlineLevel="1" x14ac:dyDescent="0.25">
      <c r="A47" s="23"/>
      <c r="B47" s="10" t="str">
        <f>CONCATENATE("          ","5501", " - ","FREIGHT-IN-NEW TEXT")</f>
        <v xml:space="preserve">          5501 - FREIGHT-IN-NEW TEXT</v>
      </c>
      <c r="C47" s="22"/>
      <c r="D47" s="2">
        <v>802.72</v>
      </c>
      <c r="E47" s="2">
        <v>4680.5600000000004</v>
      </c>
      <c r="F47" s="2">
        <v>5279.6</v>
      </c>
      <c r="G47" s="2">
        <v>23295.74</v>
      </c>
      <c r="H47" s="2">
        <v>990.19</v>
      </c>
      <c r="I47" s="2">
        <v>2414.77</v>
      </c>
      <c r="J47" s="2">
        <v>7155.21</v>
      </c>
      <c r="K47" s="2">
        <v>4638.13</v>
      </c>
      <c r="L47" s="2">
        <v>785.54</v>
      </c>
      <c r="M47" s="2">
        <v>271.27</v>
      </c>
      <c r="N47" s="2"/>
      <c r="O47" s="2"/>
      <c r="Q47" s="2">
        <f>SUM(OSRRefD14_12x)+IFERROR(SUM(OSRRefE14_12x),0)</f>
        <v>50313.729999999996</v>
      </c>
    </row>
    <row r="48" spans="1:17" s="9" customFormat="1" hidden="1" outlineLevel="1" x14ac:dyDescent="0.25">
      <c r="A48" s="23"/>
      <c r="B48" s="10" t="str">
        <f>CONCATENATE("          ","5502", " - ","FREIGHT-IN-USED TEXT")</f>
        <v xml:space="preserve">          5502 - FREIGHT-IN-USED TEXT</v>
      </c>
      <c r="C48" s="22"/>
      <c r="D48" s="2">
        <v>47.89</v>
      </c>
      <c r="E48" s="2">
        <v>1186.6600000000001</v>
      </c>
      <c r="F48" s="2">
        <v>7276.27</v>
      </c>
      <c r="G48" s="2">
        <v>2233.9</v>
      </c>
      <c r="H48" s="2">
        <v>388.37</v>
      </c>
      <c r="I48" s="2">
        <v>2389.48</v>
      </c>
      <c r="J48" s="2">
        <v>2129.7399999999998</v>
      </c>
      <c r="K48" s="2">
        <v>1484.45</v>
      </c>
      <c r="L48" s="2">
        <v>663.37</v>
      </c>
      <c r="M48" s="2">
        <v>58.77</v>
      </c>
      <c r="N48" s="2"/>
      <c r="O48" s="2"/>
      <c r="Q48" s="2">
        <f>SUM(OSRRefD14_13x)+IFERROR(SUM(OSRRefE14_13x),0)</f>
        <v>17858.899999999998</v>
      </c>
    </row>
    <row r="49" spans="1:17" s="9" customFormat="1" hidden="1" outlineLevel="1" x14ac:dyDescent="0.25">
      <c r="A49" s="23"/>
      <c r="B49" s="10" t="str">
        <f>CONCATENATE("          ","5504", " - ","FREIGHT-IN-DIGITAL TEXT")</f>
        <v xml:space="preserve">          5504 - FREIGHT-IN-DIGITAL TEXT</v>
      </c>
      <c r="C49" s="22"/>
      <c r="D49" s="2"/>
      <c r="E49" s="2"/>
      <c r="F49" s="2">
        <v>10.99</v>
      </c>
      <c r="G49" s="2">
        <v>10.99</v>
      </c>
      <c r="H49" s="2"/>
      <c r="I49" s="2"/>
      <c r="J49" s="2"/>
      <c r="K49" s="2">
        <v>6.94</v>
      </c>
      <c r="L49" s="2"/>
      <c r="M49" s="2"/>
      <c r="N49" s="2"/>
      <c r="O49" s="2"/>
      <c r="Q49" s="2">
        <f>SUM(OSRRefD14_14x)+IFERROR(SUM(OSRRefE14_14x),0)</f>
        <v>28.92</v>
      </c>
    </row>
    <row r="50" spans="1:17" s="9" customFormat="1" hidden="1" outlineLevel="1" x14ac:dyDescent="0.25">
      <c r="A50" s="23"/>
      <c r="B50" s="10" t="str">
        <f>CONCATENATE("          ","5513", " - ","FREIGHT-IN-TRADE BOOKS")</f>
        <v xml:space="preserve">          5513 - FREIGHT-IN-TRADE BOOKS</v>
      </c>
      <c r="C50" s="22"/>
      <c r="D50" s="2"/>
      <c r="E50" s="2"/>
      <c r="F50" s="2"/>
      <c r="G50" s="2"/>
      <c r="H50" s="2">
        <v>26.46</v>
      </c>
      <c r="I50" s="2"/>
      <c r="J50" s="2">
        <v>7.06</v>
      </c>
      <c r="K50" s="2"/>
      <c r="L50" s="2">
        <v>51.76</v>
      </c>
      <c r="M50" s="2"/>
      <c r="N50" s="2"/>
      <c r="O50" s="2"/>
      <c r="Q50" s="2">
        <f>SUM(OSRRefD14_15x)+IFERROR(SUM(OSRRefE14_15x),0)</f>
        <v>85.28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105</v>
      </c>
      <c r="C52" s="17"/>
      <c r="D52" s="8">
        <f t="shared" ref="D52:O52" si="14">IFERROR(+D10-D34, 0)</f>
        <v>14650.919999999991</v>
      </c>
      <c r="E52" s="8">
        <f t="shared" si="14"/>
        <v>232693.73999999987</v>
      </c>
      <c r="F52" s="8">
        <f t="shared" si="14"/>
        <v>58477.739999999962</v>
      </c>
      <c r="G52" s="8">
        <f t="shared" si="14"/>
        <v>6912.1800000000112</v>
      </c>
      <c r="H52" s="8">
        <f t="shared" si="14"/>
        <v>295.65999999995711</v>
      </c>
      <c r="I52" s="8">
        <f t="shared" si="14"/>
        <v>3026.8300000000145</v>
      </c>
      <c r="J52" s="8">
        <f t="shared" si="14"/>
        <v>208127.48000000004</v>
      </c>
      <c r="K52" s="8">
        <f t="shared" si="14"/>
        <v>20480.900000000023</v>
      </c>
      <c r="L52" s="8">
        <f t="shared" si="14"/>
        <v>2759.9499999999789</v>
      </c>
      <c r="M52" s="8">
        <f t="shared" si="14"/>
        <v>5809.3099999999686</v>
      </c>
      <c r="N52" s="8">
        <f t="shared" si="14"/>
        <v>9330</v>
      </c>
      <c r="O52" s="8">
        <f t="shared" si="14"/>
        <v>4045</v>
      </c>
      <c r="Q52" s="8">
        <f>IFERROR(+Q10-Q34, 0)</f>
        <v>566609.71</v>
      </c>
    </row>
    <row r="53" spans="1:17" s="6" customFormat="1" x14ac:dyDescent="0.25">
      <c r="B53" s="16"/>
      <c r="C53" s="16"/>
      <c r="D53" s="4">
        <f t="shared" ref="D53:O53" si="15">IFERROR(D52/D10, 0)</f>
        <v>0.3596295630812007</v>
      </c>
      <c r="E53" s="4">
        <f t="shared" si="15"/>
        <v>0.28584286494044037</v>
      </c>
      <c r="F53" s="4">
        <f t="shared" si="15"/>
        <v>0.309421191747278</v>
      </c>
      <c r="G53" s="4">
        <f t="shared" si="15"/>
        <v>0.21685828466802948</v>
      </c>
      <c r="H53" s="4">
        <f t="shared" si="15"/>
        <v>4.5890982916987275E-2</v>
      </c>
      <c r="I53" s="4">
        <f t="shared" si="15"/>
        <v>0.22181355036666986</v>
      </c>
      <c r="J53" s="4">
        <f t="shared" si="15"/>
        <v>0.29401458560548865</v>
      </c>
      <c r="K53" s="4">
        <f t="shared" si="15"/>
        <v>0.32802032099093698</v>
      </c>
      <c r="L53" s="4">
        <f t="shared" si="15"/>
        <v>0.23629810059118228</v>
      </c>
      <c r="M53" s="4">
        <f t="shared" si="15"/>
        <v>0.15784748708743779</v>
      </c>
      <c r="N53" s="4">
        <f t="shared" si="15"/>
        <v>0.27000434090580233</v>
      </c>
      <c r="O53" s="4">
        <f t="shared" si="15"/>
        <v>0.27000867765836728</v>
      </c>
      <c r="P53" s="18"/>
      <c r="Q53" s="4">
        <f>IFERROR(Q52/Q10, 0)</f>
        <v>0.28848419787678964</v>
      </c>
    </row>
    <row r="54" spans="1:17" x14ac:dyDescent="0.25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25">
      <c r="A55" s="6"/>
      <c r="B55" s="16" t="s">
        <v>254</v>
      </c>
      <c r="C55" s="6"/>
      <c r="D55" s="14">
        <f>SUM(OSRRefD20x_0)</f>
        <v>40144.110000000008</v>
      </c>
      <c r="E55" s="14">
        <f>SUM(OSRRefD20x_1)</f>
        <v>48390.54</v>
      </c>
      <c r="F55" s="14">
        <f>SUM(OSRRefD20x_2)</f>
        <v>39896.36</v>
      </c>
      <c r="G55" s="14">
        <f>SUM(OSRRefD20x_3)</f>
        <v>41286.31</v>
      </c>
      <c r="H55" s="14">
        <f>SUM(OSRRefD20x_4)</f>
        <v>43215.05</v>
      </c>
      <c r="I55" s="14">
        <f>SUM(OSRRefD20x_5)</f>
        <v>51172.139999999992</v>
      </c>
      <c r="J55" s="14">
        <f>SUM(OSRRefD20x_6)</f>
        <v>58886.079999999994</v>
      </c>
      <c r="K55" s="14">
        <f>SUM(OSRRefD20x_7)</f>
        <v>39269.650000000009</v>
      </c>
      <c r="L55" s="14">
        <f>SUM(OSRRefD20x_8)</f>
        <v>47009.950000000004</v>
      </c>
      <c r="M55" s="14">
        <f>SUM(OSRRefD20x_9)</f>
        <v>52574.149999999987</v>
      </c>
      <c r="N55" s="14">
        <f>SUM(OSRRefE20x_0)</f>
        <v>58589.43975573653</v>
      </c>
      <c r="O55" s="14">
        <f>SUM(OSRRefE20x_1)</f>
        <v>59543.047615799034</v>
      </c>
      <c r="Q55" s="14">
        <f>SUM(OSRRefG20x)</f>
        <v>579976.82737153559</v>
      </c>
    </row>
    <row r="56" spans="1:17" s="34" customFormat="1" collapsed="1" x14ac:dyDescent="0.25">
      <c r="A56" s="35"/>
      <c r="B56" s="11" t="str">
        <f>CONCATENATE("     ","*Benefits                                         ")</f>
        <v xml:space="preserve">     *Benefits                                         </v>
      </c>
      <c r="C56" s="11"/>
      <c r="D56" s="1">
        <f>SUM(OSRRefD21_0x_0)</f>
        <v>11154.429999999998</v>
      </c>
      <c r="E56" s="1">
        <f>SUM(OSRRefD21_0x_1)</f>
        <v>10659.73</v>
      </c>
      <c r="F56" s="1">
        <f>SUM(OSRRefD21_0x_2)</f>
        <v>10776.93</v>
      </c>
      <c r="G56" s="1">
        <f>SUM(OSRRefD21_0x_3)</f>
        <v>13021.619999999999</v>
      </c>
      <c r="H56" s="1">
        <f>SUM(OSRRefD21_0x_4)</f>
        <v>11425.13</v>
      </c>
      <c r="I56" s="1">
        <f>SUM(OSRRefD21_0x_5)</f>
        <v>11725.109999999999</v>
      </c>
      <c r="J56" s="1">
        <f>SUM(OSRRefD21_0x_6)</f>
        <v>13034.259999999998</v>
      </c>
      <c r="K56" s="1">
        <f>SUM(OSRRefD21_0x_7)</f>
        <v>11929.13</v>
      </c>
      <c r="L56" s="1">
        <f>SUM(OSRRefD21_0x_8)</f>
        <v>12084.359999999999</v>
      </c>
      <c r="M56" s="1">
        <f>SUM(OSRRefD21_0x_9)</f>
        <v>14359.289999999997</v>
      </c>
      <c r="N56" s="1">
        <f>SUM(OSRRefE21_0x_0)</f>
        <v>12431.395112044229</v>
      </c>
      <c r="O56" s="1">
        <f>SUM(OSRRefE21_0x_1)</f>
        <v>12707.824222106728</v>
      </c>
      <c r="Q56" s="2">
        <f>SUM(OSRRefD20_0x)+IFERROR(SUM(OSRRefE20_0x),0)</f>
        <v>145309.20933415095</v>
      </c>
    </row>
    <row r="57" spans="1:17" s="34" customFormat="1" hidden="1" outlineLevel="1" x14ac:dyDescent="0.25">
      <c r="A57" s="35"/>
      <c r="B57" s="10" t="str">
        <f>CONCATENATE("          ","6111", " - ","F.I.C.A.")</f>
        <v xml:space="preserve">          6111 - F.I.C.A.</v>
      </c>
      <c r="C57" s="11"/>
      <c r="D57" s="2">
        <v>1802.45</v>
      </c>
      <c r="E57" s="2">
        <v>2291.5500000000002</v>
      </c>
      <c r="F57" s="2">
        <v>2005.88</v>
      </c>
      <c r="G57" s="2">
        <v>3122.76</v>
      </c>
      <c r="H57" s="2">
        <v>1724.83</v>
      </c>
      <c r="I57" s="2">
        <v>1995.53</v>
      </c>
      <c r="J57" s="2">
        <v>2182.61</v>
      </c>
      <c r="K57" s="2">
        <v>1875.59</v>
      </c>
      <c r="L57" s="2">
        <v>1910.57</v>
      </c>
      <c r="M57" s="2">
        <v>2997.29</v>
      </c>
      <c r="N57" s="2">
        <v>1922.7706410634601</v>
      </c>
      <c r="O57" s="2">
        <v>2156.9309170009601</v>
      </c>
      <c r="P57" s="9"/>
      <c r="Q57" s="2">
        <f>SUM(OSRRefD21_0_0x)+IFERROR(SUM(OSRRefE21_0_0x),0)</f>
        <v>25988.76155806442</v>
      </c>
    </row>
    <row r="58" spans="1:17" s="34" customFormat="1" hidden="1" outlineLevel="1" x14ac:dyDescent="0.25">
      <c r="A58" s="35"/>
      <c r="B58" s="10" t="str">
        <f>CONCATENATE("          ","6112", " - ","COMPENSATION INSURANCE")</f>
        <v xml:space="preserve">          6112 - COMPENSATION INSURANCE</v>
      </c>
      <c r="C58" s="11"/>
      <c r="D58" s="2">
        <v>147.41999999999999</v>
      </c>
      <c r="E58" s="2">
        <v>190.93</v>
      </c>
      <c r="F58" s="2">
        <v>94.94</v>
      </c>
      <c r="G58" s="2">
        <v>89.88</v>
      </c>
      <c r="H58" s="2">
        <v>144.18</v>
      </c>
      <c r="I58" s="2">
        <v>314.69</v>
      </c>
      <c r="J58" s="2">
        <v>-125.07</v>
      </c>
      <c r="K58" s="2">
        <v>86.99</v>
      </c>
      <c r="L58" s="2">
        <v>103.76</v>
      </c>
      <c r="M58" s="2">
        <v>137.72</v>
      </c>
      <c r="N58" s="2">
        <v>542.568074711539</v>
      </c>
      <c r="O58" s="2">
        <v>557.87088158653899</v>
      </c>
      <c r="P58" s="9"/>
      <c r="Q58" s="2">
        <f>SUM(OSRRefD21_0_1x)+IFERROR(SUM(OSRRefE21_0_1x),0)</f>
        <v>2285.8789562980783</v>
      </c>
    </row>
    <row r="59" spans="1:17" s="34" customFormat="1" hidden="1" outlineLevel="1" x14ac:dyDescent="0.25">
      <c r="A59" s="35"/>
      <c r="B59" s="10" t="str">
        <f>CONCATENATE("          ","6113", " - ","GROUP INSURANCE")</f>
        <v xml:space="preserve">          6113 - GROUP INSURANCE</v>
      </c>
      <c r="C59" s="11"/>
      <c r="D59" s="2">
        <v>4248.21</v>
      </c>
      <c r="E59" s="2">
        <v>4114</v>
      </c>
      <c r="F59" s="2">
        <v>4248.21</v>
      </c>
      <c r="G59" s="2">
        <v>4248.21</v>
      </c>
      <c r="H59" s="2">
        <v>4248.21</v>
      </c>
      <c r="I59" s="2">
        <v>4281.38</v>
      </c>
      <c r="J59" s="2">
        <v>4943.91</v>
      </c>
      <c r="K59" s="2">
        <v>4943.91</v>
      </c>
      <c r="L59" s="2">
        <v>4943.91</v>
      </c>
      <c r="M59" s="2">
        <v>4943.91</v>
      </c>
      <c r="N59" s="2">
        <v>4662.6923076923104</v>
      </c>
      <c r="O59" s="2">
        <v>4662.6923076923104</v>
      </c>
      <c r="P59" s="9"/>
      <c r="Q59" s="2">
        <f>SUM(OSRRefD21_0_2x)+IFERROR(SUM(OSRRefE21_0_2x),0)</f>
        <v>54489.244615384625</v>
      </c>
    </row>
    <row r="60" spans="1:17" s="34" customFormat="1" hidden="1" outlineLevel="1" x14ac:dyDescent="0.25">
      <c r="A60" s="35"/>
      <c r="B60" s="10" t="str">
        <f>CONCATENATE("          ","6114", " - ","STATE UNEMPLOYMENT INSURANCE")</f>
        <v xml:space="preserve">          6114 - STATE UNEMPLOYMENT INSURANCE</v>
      </c>
      <c r="C60" s="11"/>
      <c r="D60" s="2">
        <v>61.43</v>
      </c>
      <c r="E60" s="2">
        <v>71.989999999999995</v>
      </c>
      <c r="F60" s="2">
        <v>74.8</v>
      </c>
      <c r="G60" s="2">
        <v>60.94</v>
      </c>
      <c r="H60" s="2">
        <v>113.59</v>
      </c>
      <c r="I60" s="2"/>
      <c r="J60" s="2">
        <v>149.4</v>
      </c>
      <c r="K60" s="2">
        <v>68.540000000000006</v>
      </c>
      <c r="L60" s="2">
        <v>70.17</v>
      </c>
      <c r="M60" s="2">
        <v>91.65</v>
      </c>
      <c r="N60" s="2">
        <v>76.252810499999995</v>
      </c>
      <c r="O60" s="2">
        <v>78.40347525</v>
      </c>
      <c r="P60" s="9"/>
      <c r="Q60" s="2">
        <f>SUM(OSRRefD21_0_3x)+IFERROR(SUM(OSRRefE21_0_3x),0)</f>
        <v>917.16628574999982</v>
      </c>
    </row>
    <row r="61" spans="1:17" s="34" customFormat="1" hidden="1" outlineLevel="1" x14ac:dyDescent="0.25">
      <c r="A61" s="35"/>
      <c r="B61" s="10" t="str">
        <f>CONCATENATE("          ","6115", " - ","P.E.R.S.")</f>
        <v xml:space="preserve">          6115 - P.E.R.S.</v>
      </c>
      <c r="C61" s="11"/>
      <c r="D61" s="2">
        <v>2220.3200000000002</v>
      </c>
      <c r="E61" s="2">
        <v>1480.2</v>
      </c>
      <c r="F61" s="2">
        <v>1480.2</v>
      </c>
      <c r="G61" s="2">
        <v>1480.2</v>
      </c>
      <c r="H61" s="2">
        <v>2042.1</v>
      </c>
      <c r="I61" s="2">
        <v>1783.22</v>
      </c>
      <c r="J61" s="2">
        <v>2689.05</v>
      </c>
      <c r="K61" s="2">
        <v>1783.22</v>
      </c>
      <c r="L61" s="2">
        <v>1783.22</v>
      </c>
      <c r="M61" s="2">
        <v>1722.62</v>
      </c>
      <c r="N61" s="2">
        <v>1605.65797230769</v>
      </c>
      <c r="O61" s="2">
        <v>1605.65797230769</v>
      </c>
      <c r="P61" s="9"/>
      <c r="Q61" s="2">
        <f>SUM(OSRRefD21_0_4x)+IFERROR(SUM(OSRRefE21_0_4x),0)</f>
        <v>21675.665944615379</v>
      </c>
    </row>
    <row r="62" spans="1:17" s="34" customFormat="1" hidden="1" outlineLevel="1" x14ac:dyDescent="0.25">
      <c r="A62" s="35"/>
      <c r="B62" s="10" t="str">
        <f>CONCATENATE("          ","6116", " - ","EDUCATIONAL BENEFITS")</f>
        <v xml:space="preserve">          6116 - EDUCATIONAL BENEFITS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4" customFormat="1" hidden="1" outlineLevel="1" x14ac:dyDescent="0.25">
      <c r="A63" s="35"/>
      <c r="B63" s="10" t="str">
        <f>CONCATENATE("          ","6117", " - ","RETIREMENT STAFF HOURLY")</f>
        <v xml:space="preserve">          6117 - RETIREMENT STAFF HOURLY</v>
      </c>
      <c r="C63" s="11"/>
      <c r="D63" s="2">
        <v>333.14</v>
      </c>
      <c r="E63" s="2">
        <v>255.65</v>
      </c>
      <c r="F63" s="2">
        <v>248.98</v>
      </c>
      <c r="G63" s="2">
        <v>222.97</v>
      </c>
      <c r="H63" s="2">
        <v>232.91</v>
      </c>
      <c r="I63" s="2">
        <v>250.51</v>
      </c>
      <c r="J63" s="2">
        <v>297.92</v>
      </c>
      <c r="K63" s="2">
        <v>298.89999999999998</v>
      </c>
      <c r="L63" s="2">
        <v>368.6</v>
      </c>
      <c r="M63" s="2">
        <v>246.24</v>
      </c>
      <c r="N63" s="2"/>
      <c r="O63" s="2"/>
      <c r="P63" s="9"/>
      <c r="Q63" s="2">
        <f>SUM(OSRRefD21_0_6x)+IFERROR(SUM(OSRRefE21_0_6x),0)</f>
        <v>2755.8199999999997</v>
      </c>
    </row>
    <row r="64" spans="1:17" s="34" customFormat="1" hidden="1" outlineLevel="1" x14ac:dyDescent="0.25">
      <c r="A64" s="35"/>
      <c r="B64" s="10" t="str">
        <f>CONCATENATE("          ","6118", " - ","VACATION")</f>
        <v xml:space="preserve">          6118 - VACATION</v>
      </c>
      <c r="C64" s="11"/>
      <c r="D64" s="2">
        <v>967.81</v>
      </c>
      <c r="E64" s="2">
        <v>942.5</v>
      </c>
      <c r="F64" s="2">
        <v>1121.07</v>
      </c>
      <c r="G64" s="2">
        <v>1853.32</v>
      </c>
      <c r="H64" s="2">
        <v>1278.1500000000001</v>
      </c>
      <c r="I64" s="2">
        <v>1613.8</v>
      </c>
      <c r="J64" s="2">
        <v>1526.05</v>
      </c>
      <c r="K64" s="2">
        <v>1386.96</v>
      </c>
      <c r="L64" s="2">
        <v>1345.02</v>
      </c>
      <c r="M64" s="2">
        <v>2466.27</v>
      </c>
      <c r="N64" s="2">
        <v>1601.0077200000001</v>
      </c>
      <c r="O64" s="2">
        <v>1601.0077200000001</v>
      </c>
      <c r="P64" s="9"/>
      <c r="Q64" s="2">
        <f>SUM(OSRRefD21_0_7x)+IFERROR(SUM(OSRRefE21_0_7x),0)</f>
        <v>17702.96544</v>
      </c>
    </row>
    <row r="65" spans="1:17" s="34" customFormat="1" hidden="1" outlineLevel="1" x14ac:dyDescent="0.25">
      <c r="A65" s="35"/>
      <c r="B65" s="10" t="str">
        <f>CONCATENATE("          ","6119", " - ","SICK LEAVE")</f>
        <v xml:space="preserve">          6119 - SICK LEAVE</v>
      </c>
      <c r="C65" s="11"/>
      <c r="D65" s="2">
        <v>944.6</v>
      </c>
      <c r="E65" s="2">
        <v>944.6</v>
      </c>
      <c r="F65" s="2">
        <v>944.6</v>
      </c>
      <c r="G65" s="2">
        <v>1416.9</v>
      </c>
      <c r="H65" s="2">
        <v>1046.08</v>
      </c>
      <c r="I65" s="2">
        <v>1147.56</v>
      </c>
      <c r="J65" s="2">
        <v>1147.56</v>
      </c>
      <c r="K65" s="2">
        <v>1147.56</v>
      </c>
      <c r="L65" s="2">
        <v>1147.56</v>
      </c>
      <c r="M65" s="2">
        <v>1289.8800000000001</v>
      </c>
      <c r="N65" s="2">
        <v>1270.4455857692301</v>
      </c>
      <c r="O65" s="2">
        <v>1295.2609482692301</v>
      </c>
      <c r="P65" s="9"/>
      <c r="Q65" s="2">
        <f>SUM(OSRRefD21_0_8x)+IFERROR(SUM(OSRRefE21_0_8x),0)</f>
        <v>13742.606534038458</v>
      </c>
    </row>
    <row r="66" spans="1:17" s="34" customFormat="1" hidden="1" outlineLevel="1" x14ac:dyDescent="0.25">
      <c r="A66" s="35"/>
      <c r="B66" s="10" t="str">
        <f>CONCATENATE("          ","6156", " - ","EMPLOYEE MEALS")</f>
        <v xml:space="preserve">          6156 - EMPLOYEE MEALS</v>
      </c>
      <c r="C66" s="11"/>
      <c r="D66" s="2">
        <v>429.05</v>
      </c>
      <c r="E66" s="2">
        <v>368.31</v>
      </c>
      <c r="F66" s="2">
        <v>558.25</v>
      </c>
      <c r="G66" s="2">
        <v>526.44000000000005</v>
      </c>
      <c r="H66" s="2">
        <v>595.08000000000004</v>
      </c>
      <c r="I66" s="2">
        <v>338.42</v>
      </c>
      <c r="J66" s="2">
        <v>222.83</v>
      </c>
      <c r="K66" s="2">
        <v>337.46</v>
      </c>
      <c r="L66" s="2">
        <v>411.55</v>
      </c>
      <c r="M66" s="2">
        <v>463.71</v>
      </c>
      <c r="N66" s="2">
        <v>750</v>
      </c>
      <c r="O66" s="2">
        <v>750</v>
      </c>
      <c r="P66" s="9"/>
      <c r="Q66" s="2">
        <f>SUM(OSRRefD21_0_9x)+IFERROR(SUM(OSRRefE21_0_9x),0)</f>
        <v>5751.1</v>
      </c>
    </row>
    <row r="67" spans="1:17" s="34" customFormat="1" collapsed="1" x14ac:dyDescent="0.25">
      <c r="A67" s="35"/>
      <c r="B67" s="11" t="str">
        <f>CONCATENATE("     ","*Payroll                                          ")</f>
        <v xml:space="preserve">     *Payroll                                          </v>
      </c>
      <c r="C67" s="11"/>
      <c r="D67" s="1">
        <f>SUM(OSRRefD21_1x_0)</f>
        <v>29301.230000000003</v>
      </c>
      <c r="E67" s="1">
        <f>SUM(OSRRefD21_1x_1)</f>
        <v>35256.06</v>
      </c>
      <c r="F67" s="1">
        <f>SUM(OSRRefD21_1x_2)</f>
        <v>25117.03</v>
      </c>
      <c r="G67" s="1">
        <f>SUM(OSRRefD21_1x_3)</f>
        <v>26770.510000000002</v>
      </c>
      <c r="H67" s="1">
        <f>SUM(OSRRefD21_1x_4)</f>
        <v>20893.93</v>
      </c>
      <c r="I67" s="1">
        <f>SUM(OSRRefD21_1x_5)</f>
        <v>28068.31</v>
      </c>
      <c r="J67" s="1">
        <f>SUM(OSRRefD21_1x_6)</f>
        <v>38361.300000000003</v>
      </c>
      <c r="K67" s="1">
        <f>SUM(OSRRefD21_1x_7)</f>
        <v>23630.000000000004</v>
      </c>
      <c r="L67" s="1">
        <f>SUM(OSRRefD21_1x_8)</f>
        <v>25735.149999999998</v>
      </c>
      <c r="M67" s="1">
        <f>SUM(OSRRefD21_1x_9)</f>
        <v>29075.89</v>
      </c>
      <c r="N67" s="1">
        <f>SUM(OSRRefE21_1x_0)</f>
        <v>26793.044643692301</v>
      </c>
      <c r="O67" s="1">
        <f>SUM(OSRRefE21_1x_1)</f>
        <v>27620.223393692304</v>
      </c>
      <c r="Q67" s="2">
        <f>SUM(OSRRefD20_1x)+IFERROR(SUM(OSRRefE20_1x),0)</f>
        <v>336622.67803738458</v>
      </c>
    </row>
    <row r="68" spans="1:17" s="34" customFormat="1" hidden="1" outlineLevel="1" x14ac:dyDescent="0.25">
      <c r="A68" s="35"/>
      <c r="B68" s="10" t="str">
        <f>CONCATENATE("          ","6001", " - ","ADMINISTRATIVE SALARIES")</f>
        <v xml:space="preserve">          6001 - ADMINISTRATIVE SALARIES</v>
      </c>
      <c r="C68" s="11"/>
      <c r="D68" s="2">
        <v>-311.32</v>
      </c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SUM(OSRRefD21_1_0x)+IFERROR(SUM(OSRRefE21_1_0x),0)</f>
        <v>-311.32</v>
      </c>
    </row>
    <row r="69" spans="1:17" s="34" customFormat="1" hidden="1" outlineLevel="1" x14ac:dyDescent="0.25">
      <c r="A69" s="35"/>
      <c r="B69" s="10" t="str">
        <f>CONCATENATE("          ","6002", " - ","STAFF SALARIES")</f>
        <v xml:space="preserve">          6002 - STAFF SALARIES</v>
      </c>
      <c r="C69" s="11"/>
      <c r="D69" s="2">
        <v>18429.759999999998</v>
      </c>
      <c r="E69" s="2">
        <v>14705.64</v>
      </c>
      <c r="F69" s="2">
        <v>14307.52</v>
      </c>
      <c r="G69" s="2">
        <v>16701.23</v>
      </c>
      <c r="H69" s="2">
        <v>14271.35</v>
      </c>
      <c r="I69" s="2">
        <v>18082.7</v>
      </c>
      <c r="J69" s="2">
        <v>24862.47</v>
      </c>
      <c r="K69" s="2">
        <v>16765.57</v>
      </c>
      <c r="L69" s="2">
        <v>16589.439999999999</v>
      </c>
      <c r="M69" s="2">
        <v>19208.37</v>
      </c>
      <c r="N69" s="2">
        <v>16592.132063692301</v>
      </c>
      <c r="O69" s="2">
        <v>16592.132063692301</v>
      </c>
      <c r="P69" s="9"/>
      <c r="Q69" s="2">
        <f>SUM(OSRRefD21_1_1x)+IFERROR(SUM(OSRRefE21_1_1x),0)</f>
        <v>207108.3141273846</v>
      </c>
    </row>
    <row r="70" spans="1:17" s="34" customFormat="1" hidden="1" outlineLevel="1" x14ac:dyDescent="0.25">
      <c r="A70" s="35"/>
      <c r="B70" s="10" t="str">
        <f>CONCATENATE("          ","6003", " - ","STAFF HOURLY-9 MONTH")</f>
        <v xml:space="preserve">          6003 - STAFF HOURLY-9 MONTH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4" customFormat="1" hidden="1" outlineLevel="1" x14ac:dyDescent="0.25">
      <c r="A71" s="35"/>
      <c r="B71" s="10" t="str">
        <f>CONCATENATE("          ","6004", " - ","STAFF HOURLY")</f>
        <v xml:space="preserve">          6004 - STAFF HOURLY</v>
      </c>
      <c r="C71" s="11"/>
      <c r="D71" s="2">
        <v>5507.97</v>
      </c>
      <c r="E71" s="2">
        <v>6665.13</v>
      </c>
      <c r="F71" s="2">
        <v>6404.63</v>
      </c>
      <c r="G71" s="2">
        <v>8733.7900000000009</v>
      </c>
      <c r="H71" s="2">
        <v>5370.49</v>
      </c>
      <c r="I71" s="2">
        <v>7156.04</v>
      </c>
      <c r="J71" s="2">
        <v>8056.36</v>
      </c>
      <c r="K71" s="2">
        <v>6038.31</v>
      </c>
      <c r="L71" s="2">
        <v>5806.54</v>
      </c>
      <c r="M71" s="2">
        <v>8559.48</v>
      </c>
      <c r="N71" s="2">
        <v>5285.7500799999998</v>
      </c>
      <c r="O71" s="2">
        <v>5285.7500799999998</v>
      </c>
      <c r="P71" s="9"/>
      <c r="Q71" s="2">
        <f>SUM(OSRRefD21_1_3x)+IFERROR(SUM(OSRRefE21_1_3x),0)</f>
        <v>78870.240160000001</v>
      </c>
    </row>
    <row r="72" spans="1:17" s="34" customFormat="1" hidden="1" outlineLevel="1" x14ac:dyDescent="0.25">
      <c r="A72" s="35"/>
      <c r="B72" s="10" t="str">
        <f>CONCATENATE("          ","6005", " - ","TEMPORARY WAGES-HOURLY")</f>
        <v xml:space="preserve">          6005 - TEMPORARY WAGES-HOURLY</v>
      </c>
      <c r="C72" s="11"/>
      <c r="D72" s="2">
        <v>1986.02</v>
      </c>
      <c r="E72" s="2">
        <v>3708.03</v>
      </c>
      <c r="F72" s="2">
        <v>5645.28</v>
      </c>
      <c r="G72" s="2">
        <v>1498.67</v>
      </c>
      <c r="H72" s="2"/>
      <c r="I72" s="2"/>
      <c r="J72" s="2"/>
      <c r="K72" s="2"/>
      <c r="L72" s="2">
        <v>478.89</v>
      </c>
      <c r="M72" s="2">
        <v>2368.27</v>
      </c>
      <c r="N72" s="2">
        <v>1926.6</v>
      </c>
      <c r="O72" s="2">
        <v>1971.06</v>
      </c>
      <c r="P72" s="9"/>
      <c r="Q72" s="2">
        <f>SUM(OSRRefD21_1_4x)+IFERROR(SUM(OSRRefE21_1_4x),0)</f>
        <v>19582.82</v>
      </c>
    </row>
    <row r="73" spans="1:17" s="34" customFormat="1" hidden="1" outlineLevel="1" x14ac:dyDescent="0.25">
      <c r="A73" s="35"/>
      <c r="B73" s="10" t="str">
        <f>CONCATENATE("          ","6006", " - ","TEMPORARY PART TIME")</f>
        <v xml:space="preserve">          6006 - TEMPORARY PART TIME</v>
      </c>
      <c r="C73" s="11"/>
      <c r="D73" s="2">
        <v>502.29</v>
      </c>
      <c r="E73" s="2"/>
      <c r="F73" s="2"/>
      <c r="G73" s="2"/>
      <c r="H73" s="2"/>
      <c r="I73" s="2"/>
      <c r="J73" s="2"/>
      <c r="K73" s="2"/>
      <c r="L73" s="2"/>
      <c r="M73" s="2"/>
      <c r="N73" s="2">
        <v>0</v>
      </c>
      <c r="O73" s="2">
        <v>0</v>
      </c>
      <c r="P73" s="9"/>
      <c r="Q73" s="2">
        <f>SUM(OSRRefD21_1_5x)+IFERROR(SUM(OSRRefE21_1_5x),0)</f>
        <v>502.29</v>
      </c>
    </row>
    <row r="74" spans="1:17" s="34" customFormat="1" hidden="1" outlineLevel="1" x14ac:dyDescent="0.25">
      <c r="A74" s="35"/>
      <c r="B74" s="10" t="str">
        <f>CONCATENATE("          ","6007", " - ","STUDENT HOURLY")</f>
        <v xml:space="preserve">          6007 - STUDENT HOURLY</v>
      </c>
      <c r="C74" s="11"/>
      <c r="D74" s="2">
        <v>3186.51</v>
      </c>
      <c r="E74" s="2">
        <v>10177.26</v>
      </c>
      <c r="F74" s="2">
        <v>-1240.4000000000001</v>
      </c>
      <c r="G74" s="2">
        <v>-163.18</v>
      </c>
      <c r="H74" s="2">
        <v>1252.0899999999999</v>
      </c>
      <c r="I74" s="2">
        <v>2829.57</v>
      </c>
      <c r="J74" s="2">
        <v>4760.1099999999997</v>
      </c>
      <c r="K74" s="2">
        <v>541.22</v>
      </c>
      <c r="L74" s="2">
        <v>2860.28</v>
      </c>
      <c r="M74" s="2">
        <v>-1060.23</v>
      </c>
      <c r="N74" s="2">
        <v>711.5625</v>
      </c>
      <c r="O74" s="2">
        <v>3771.28125</v>
      </c>
      <c r="P74" s="9"/>
      <c r="Q74" s="2">
        <f>SUM(OSRRefD21_1_6x)+IFERROR(SUM(OSRRefE21_1_6x),0)</f>
        <v>27626.07375</v>
      </c>
    </row>
    <row r="75" spans="1:17" s="34" customFormat="1" hidden="1" outlineLevel="1" x14ac:dyDescent="0.25">
      <c r="A75" s="35"/>
      <c r="B75" s="10" t="str">
        <f>CONCATENATE("          ","6008", " - ","STUDENT HOURLY-FICA EXEMPT")</f>
        <v xml:space="preserve">          6008 - STUDENT HOURLY-FICA EXEMPT</v>
      </c>
      <c r="C75" s="11"/>
      <c r="D75" s="2"/>
      <c r="E75" s="2"/>
      <c r="F75" s="2"/>
      <c r="G75" s="2"/>
      <c r="H75" s="2"/>
      <c r="I75" s="2"/>
      <c r="J75" s="2">
        <v>682.36</v>
      </c>
      <c r="K75" s="2">
        <v>284.89999999999998</v>
      </c>
      <c r="L75" s="2"/>
      <c r="M75" s="2"/>
      <c r="N75" s="2">
        <v>2277</v>
      </c>
      <c r="O75" s="2">
        <v>0</v>
      </c>
      <c r="P75" s="9"/>
      <c r="Q75" s="2">
        <f>SUM(OSRRefD21_1_7x)+IFERROR(SUM(OSRRefE21_1_7x),0)</f>
        <v>3244.26</v>
      </c>
    </row>
    <row r="76" spans="1:17" s="34" customFormat="1" hidden="1" outlineLevel="1" x14ac:dyDescent="0.25">
      <c r="A76" s="35"/>
      <c r="B76" s="10" t="str">
        <f>CONCATENATE("          ","6009", " - ","TEMPORARY-SEASONAL")</f>
        <v xml:space="preserve">          6009 - TEMPORARY-SEASONAL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4" customFormat="1" hidden="1" outlineLevel="1" x14ac:dyDescent="0.25">
      <c r="A77" s="35"/>
      <c r="B77" s="10" t="str">
        <f>CONCATENATE("          ","6010", " - ","GRATUITY")</f>
        <v xml:space="preserve">          6010 - GRATUITY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4" customFormat="1" collapsed="1" x14ac:dyDescent="0.25">
      <c r="A78" s="35"/>
      <c r="B78" s="11" t="str">
        <f>CONCATENATE("     ","Advertising/Promo                                 ")</f>
        <v xml:space="preserve">     Advertising/Promo                                 </v>
      </c>
      <c r="C78" s="11"/>
      <c r="D78" s="1">
        <f>SUM(OSRRefD21_2x_0)</f>
        <v>1249.9000000000001</v>
      </c>
      <c r="E78" s="1">
        <f>SUM(OSRRefD21_2x_1)</f>
        <v>109.98</v>
      </c>
      <c r="F78" s="1">
        <f>SUM(OSRRefD21_2x_2)</f>
        <v>0</v>
      </c>
      <c r="G78" s="1">
        <f>SUM(OSRRefD21_2x_3)</f>
        <v>0</v>
      </c>
      <c r="H78" s="1">
        <f>SUM(OSRRefD21_2x_4)</f>
        <v>0</v>
      </c>
      <c r="I78" s="1">
        <f>SUM(OSRRefD21_2x_5)</f>
        <v>70.56</v>
      </c>
      <c r="J78" s="1">
        <f>SUM(OSRRefD21_2x_6)</f>
        <v>569.11</v>
      </c>
      <c r="K78" s="1">
        <f>SUM(OSRRefD21_2x_7)</f>
        <v>0</v>
      </c>
      <c r="L78" s="1">
        <f>SUM(OSRRefD21_2x_8)</f>
        <v>30.83</v>
      </c>
      <c r="M78" s="1">
        <f>SUM(OSRRefD21_2x_9)</f>
        <v>2.21</v>
      </c>
      <c r="N78" s="1">
        <f>SUM(OSRRefE21_2x_0)</f>
        <v>500</v>
      </c>
      <c r="O78" s="1">
        <f>SUM(OSRRefE21_2x_1)</f>
        <v>100</v>
      </c>
      <c r="Q78" s="2">
        <f>SUM(OSRRefD20_2x)+IFERROR(SUM(OSRRefE20_2x),0)</f>
        <v>2632.59</v>
      </c>
    </row>
    <row r="79" spans="1:17" s="34" customFormat="1" hidden="1" outlineLevel="1" x14ac:dyDescent="0.25">
      <c r="A79" s="35"/>
      <c r="B79" s="10" t="str">
        <f>CONCATENATE("          ","6362", " - ","ADVERTISING EXPENSE")</f>
        <v xml:space="preserve">          6362 - ADVERTISING EXPENSE</v>
      </c>
      <c r="C79" s="11"/>
      <c r="D79" s="2">
        <v>1249.9000000000001</v>
      </c>
      <c r="E79" s="2">
        <v>109.98</v>
      </c>
      <c r="F79" s="2"/>
      <c r="G79" s="2"/>
      <c r="H79" s="2"/>
      <c r="I79" s="2">
        <v>70.56</v>
      </c>
      <c r="J79" s="2">
        <v>569.11</v>
      </c>
      <c r="K79" s="2"/>
      <c r="L79" s="2">
        <v>30.83</v>
      </c>
      <c r="M79" s="2">
        <v>2.21</v>
      </c>
      <c r="N79" s="2">
        <v>500</v>
      </c>
      <c r="O79" s="2">
        <v>100</v>
      </c>
      <c r="P79" s="9"/>
      <c r="Q79" s="2">
        <f>SUM(OSRRefD21_2_0x)+IFERROR(SUM(OSRRefE21_2_0x),0)</f>
        <v>2632.59</v>
      </c>
    </row>
    <row r="80" spans="1:17" s="34" customFormat="1" collapsed="1" x14ac:dyDescent="0.25">
      <c r="A80" s="35"/>
      <c r="B80" s="11" t="str">
        <f>CONCATENATE("     ","Discounts and Markdowns                           ")</f>
        <v xml:space="preserve">     Discounts and Markdowns                           </v>
      </c>
      <c r="C80" s="11"/>
      <c r="D80" s="1">
        <f>SUM(OSRRefD21_3x_0)</f>
        <v>0</v>
      </c>
      <c r="E80" s="1">
        <f>SUM(OSRRefD21_3x_1)</f>
        <v>0</v>
      </c>
      <c r="F80" s="1">
        <f>SUM(OSRRefD21_3x_2)</f>
        <v>0</v>
      </c>
      <c r="G80" s="1">
        <f>SUM(OSRRefD21_3x_3)</f>
        <v>0</v>
      </c>
      <c r="H80" s="1">
        <f>SUM(OSRRefD21_3x_4)</f>
        <v>0</v>
      </c>
      <c r="I80" s="1">
        <f>SUM(OSRRefD21_3x_5)</f>
        <v>0</v>
      </c>
      <c r="J80" s="1">
        <f>SUM(OSRRefD21_3x_6)</f>
        <v>-42.86</v>
      </c>
      <c r="K80" s="1">
        <f>SUM(OSRRefD21_3x_7)</f>
        <v>42.86</v>
      </c>
      <c r="L80" s="1">
        <f>SUM(OSRRefD21_3x_8)</f>
        <v>0</v>
      </c>
      <c r="M80" s="1">
        <f>SUM(OSRRefD21_3x_9)</f>
        <v>0</v>
      </c>
      <c r="N80" s="1">
        <f>SUM(OSRRefE21_3x_0)</f>
        <v>1200</v>
      </c>
      <c r="O80" s="1">
        <f>SUM(OSRRefE21_3x_1)</f>
        <v>1200</v>
      </c>
      <c r="Q80" s="2">
        <f>SUM(OSRRefD20_3x)+IFERROR(SUM(OSRRefE20_3x),0)</f>
        <v>2400</v>
      </c>
    </row>
    <row r="81" spans="1:17" s="34" customFormat="1" hidden="1" outlineLevel="1" x14ac:dyDescent="0.25">
      <c r="A81" s="35"/>
      <c r="B81" s="10" t="str">
        <f>CONCATENATE("          ","6382", " - ","DISCOUNTS/MARK DOWNS")</f>
        <v xml:space="preserve">          6382 - DISCOUNTS/MARK DOWNS</v>
      </c>
      <c r="C81" s="11"/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1200</v>
      </c>
      <c r="O81" s="2">
        <v>1200</v>
      </c>
      <c r="P81" s="9"/>
      <c r="Q81" s="2">
        <f>SUM(OSRRefD21_3_0x)+IFERROR(SUM(OSRRefE21_3_0x),0)</f>
        <v>2400</v>
      </c>
    </row>
    <row r="82" spans="1:17" s="34" customFormat="1" hidden="1" outlineLevel="1" x14ac:dyDescent="0.25">
      <c r="A82" s="35"/>
      <c r="B82" s="10" t="str">
        <f>CONCATENATE("          ","9175", " - ","EARNED DISCOUNTS")</f>
        <v xml:space="preserve">          9175 - EARNED DISCOUNTS</v>
      </c>
      <c r="C82" s="11"/>
      <c r="D82" s="2"/>
      <c r="E82" s="2"/>
      <c r="F82" s="2"/>
      <c r="G82" s="2"/>
      <c r="H82" s="2"/>
      <c r="I82" s="2"/>
      <c r="J82" s="2">
        <v>-42.86</v>
      </c>
      <c r="K82" s="2">
        <v>42.86</v>
      </c>
      <c r="L82" s="2"/>
      <c r="M82" s="2"/>
      <c r="N82" s="2"/>
      <c r="O82" s="2"/>
      <c r="P82" s="9"/>
      <c r="Q82" s="2">
        <f>SUM(OSRRefD21_3_1x)+IFERROR(SUM(OSRRefE21_3_1x),0)</f>
        <v>0</v>
      </c>
    </row>
    <row r="83" spans="1:17" s="34" customFormat="1" collapsed="1" x14ac:dyDescent="0.25">
      <c r="A83" s="35"/>
      <c r="B83" s="11" t="str">
        <f>CONCATENATE("     ","Employees' Appreciation                           ")</f>
        <v xml:space="preserve">     Employees' Appreciation                           </v>
      </c>
      <c r="C83" s="11"/>
      <c r="D83" s="1">
        <f>SUM(OSRRefD21_4x_0)</f>
        <v>107.7</v>
      </c>
      <c r="E83" s="1">
        <f>SUM(OSRRefD21_4x_1)</f>
        <v>0</v>
      </c>
      <c r="F83" s="1">
        <f>SUM(OSRRefD21_4x_2)</f>
        <v>0</v>
      </c>
      <c r="G83" s="1">
        <f>SUM(OSRRefD21_4x_3)</f>
        <v>0</v>
      </c>
      <c r="H83" s="1">
        <f>SUM(OSRRefD21_4x_4)</f>
        <v>0</v>
      </c>
      <c r="I83" s="1">
        <f>SUM(OSRRefD21_4x_5)</f>
        <v>0</v>
      </c>
      <c r="J83" s="1">
        <f>SUM(OSRRefD21_4x_6)</f>
        <v>0</v>
      </c>
      <c r="K83" s="1">
        <f>SUM(OSRRefD21_4x_7)</f>
        <v>0</v>
      </c>
      <c r="L83" s="1">
        <f>SUM(OSRRefD21_4x_8)</f>
        <v>0</v>
      </c>
      <c r="M83" s="1">
        <f>SUM(OSRRefD21_4x_9)</f>
        <v>0</v>
      </c>
      <c r="N83" s="1">
        <f>SUM(OSRRefE21_4x_0)</f>
        <v>75</v>
      </c>
      <c r="O83" s="1">
        <f>SUM(OSRRefE21_4x_1)</f>
        <v>75</v>
      </c>
      <c r="Q83" s="2">
        <f>SUM(OSRRefD20_4x)+IFERROR(SUM(OSRRefE20_4x),0)</f>
        <v>257.7</v>
      </c>
    </row>
    <row r="84" spans="1:17" s="34" customFormat="1" hidden="1" outlineLevel="1" x14ac:dyDescent="0.25">
      <c r="A84" s="35"/>
      <c r="B84" s="10" t="str">
        <f>CONCATENATE("          ","6277", " - ","EMPLOYEE APPRECIATION")</f>
        <v xml:space="preserve">          6277 - EMPLOYEE APPRECIATION</v>
      </c>
      <c r="C84" s="11"/>
      <c r="D84" s="2">
        <v>107.7</v>
      </c>
      <c r="E84" s="2"/>
      <c r="F84" s="2"/>
      <c r="G84" s="2"/>
      <c r="H84" s="2"/>
      <c r="I84" s="2"/>
      <c r="J84" s="2"/>
      <c r="K84" s="2">
        <v>0</v>
      </c>
      <c r="L84" s="2"/>
      <c r="M84" s="2"/>
      <c r="N84" s="2">
        <v>75</v>
      </c>
      <c r="O84" s="2">
        <v>75</v>
      </c>
      <c r="P84" s="9"/>
      <c r="Q84" s="2">
        <f>SUM(OSRRefD21_4_0x)+IFERROR(SUM(OSRRefE21_4_0x),0)</f>
        <v>257.7</v>
      </c>
    </row>
    <row r="85" spans="1:17" s="34" customFormat="1" collapsed="1" x14ac:dyDescent="0.25">
      <c r="A85" s="35"/>
      <c r="B85" s="11" t="str">
        <f>CONCATENATE("     ","Equipment Rental                                  ")</f>
        <v xml:space="preserve">     Equipment Rental                                  </v>
      </c>
      <c r="C85" s="11"/>
      <c r="D85" s="1">
        <f>SUM(OSRRefD21_5x_0)</f>
        <v>91.26</v>
      </c>
      <c r="E85" s="1">
        <f>SUM(OSRRefD21_5x_1)</f>
        <v>91.26</v>
      </c>
      <c r="F85" s="1">
        <f>SUM(OSRRefD21_5x_2)</f>
        <v>91.26</v>
      </c>
      <c r="G85" s="1">
        <f>SUM(OSRRefD21_5x_3)</f>
        <v>182.52</v>
      </c>
      <c r="H85" s="1">
        <f>SUM(OSRRefD21_5x_4)</f>
        <v>91.26</v>
      </c>
      <c r="I85" s="1">
        <f>SUM(OSRRefD21_5x_5)</f>
        <v>0</v>
      </c>
      <c r="J85" s="1">
        <f>SUM(OSRRefD21_5x_6)</f>
        <v>91.26</v>
      </c>
      <c r="K85" s="1">
        <f>SUM(OSRRefD21_5x_7)</f>
        <v>91.26</v>
      </c>
      <c r="L85" s="1">
        <f>SUM(OSRRefD21_5x_8)</f>
        <v>91.26</v>
      </c>
      <c r="M85" s="1">
        <f>SUM(OSRRefD21_5x_9)</f>
        <v>91.26</v>
      </c>
      <c r="N85" s="1">
        <f>SUM(OSRRefE21_5x_0)</f>
        <v>100</v>
      </c>
      <c r="O85" s="1">
        <f>SUM(OSRRefE21_5x_1)</f>
        <v>100</v>
      </c>
      <c r="Q85" s="2">
        <f>SUM(OSRRefD20_5x)+IFERROR(SUM(OSRRefE20_5x),0)</f>
        <v>1112.5999999999999</v>
      </c>
    </row>
    <row r="86" spans="1:17" s="34" customFormat="1" hidden="1" outlineLevel="1" x14ac:dyDescent="0.25">
      <c r="A86" s="35"/>
      <c r="B86" s="10" t="str">
        <f>CONCATENATE("          ","6351", " - ","EQUIPMENT RENTAL")</f>
        <v xml:space="preserve">          6351 - EQUIPMENT RENTAL</v>
      </c>
      <c r="C86" s="11"/>
      <c r="D86" s="2">
        <v>91.26</v>
      </c>
      <c r="E86" s="2">
        <v>91.26</v>
      </c>
      <c r="F86" s="2">
        <v>91.26</v>
      </c>
      <c r="G86" s="2">
        <v>182.52</v>
      </c>
      <c r="H86" s="2">
        <v>91.26</v>
      </c>
      <c r="I86" s="2">
        <v>0</v>
      </c>
      <c r="J86" s="2">
        <v>91.26</v>
      </c>
      <c r="K86" s="2">
        <v>91.26</v>
      </c>
      <c r="L86" s="2">
        <v>91.26</v>
      </c>
      <c r="M86" s="2">
        <v>91.26</v>
      </c>
      <c r="N86" s="2">
        <v>100</v>
      </c>
      <c r="O86" s="2">
        <v>100</v>
      </c>
      <c r="P86" s="9"/>
      <c r="Q86" s="2">
        <f>SUM(OSRRefD21_5_0x)+IFERROR(SUM(OSRRefE21_5_0x),0)</f>
        <v>1112.5999999999999</v>
      </c>
    </row>
    <row r="87" spans="1:17" s="34" customFormat="1" collapsed="1" x14ac:dyDescent="0.25">
      <c r="A87" s="35"/>
      <c r="B87" s="11" t="str">
        <f>CONCATENATE("     ","Freight out/Postage                               ")</f>
        <v xml:space="preserve">     Freight out/Postage                               </v>
      </c>
      <c r="C87" s="11"/>
      <c r="D87" s="1">
        <f>SUM(OSRRefD21_6x_0)</f>
        <v>167.5</v>
      </c>
      <c r="E87" s="1">
        <f>SUM(OSRRefD21_6x_1)</f>
        <v>333.31</v>
      </c>
      <c r="F87" s="1">
        <f>SUM(OSRRefD21_6x_2)</f>
        <v>35.35</v>
      </c>
      <c r="G87" s="1">
        <f>SUM(OSRRefD21_6x_3)</f>
        <v>29.84</v>
      </c>
      <c r="H87" s="1">
        <f>SUM(OSRRefD21_6x_4)</f>
        <v>4164.83</v>
      </c>
      <c r="I87" s="1">
        <f>SUM(OSRRefD21_6x_5)</f>
        <v>4167.2</v>
      </c>
      <c r="J87" s="1">
        <f>SUM(OSRRefD21_6x_6)</f>
        <v>272.02</v>
      </c>
      <c r="K87" s="1">
        <f>SUM(OSRRefD21_6x_7)</f>
        <v>1294.28</v>
      </c>
      <c r="L87" s="1">
        <f>SUM(OSRRefD21_6x_8)</f>
        <v>7217.53</v>
      </c>
      <c r="M87" s="1">
        <f>SUM(OSRRefD21_6x_9)</f>
        <v>6096.13</v>
      </c>
      <c r="N87" s="1">
        <f>SUM(OSRRefE21_6x_0)</f>
        <v>1000</v>
      </c>
      <c r="O87" s="1">
        <f>SUM(OSRRefE21_6x_1)</f>
        <v>1000</v>
      </c>
      <c r="Q87" s="2">
        <f>SUM(OSRRefD20_6x)+IFERROR(SUM(OSRRefE20_6x),0)</f>
        <v>25777.99</v>
      </c>
    </row>
    <row r="88" spans="1:17" s="34" customFormat="1" hidden="1" outlineLevel="1" x14ac:dyDescent="0.25">
      <c r="A88" s="35"/>
      <c r="B88" s="10" t="str">
        <f>CONCATENATE("          ","6305", " - ","FREIGHT OUT")</f>
        <v xml:space="preserve">          6305 - FREIGHT OUT</v>
      </c>
      <c r="C88" s="11"/>
      <c r="D88" s="2">
        <v>167.5</v>
      </c>
      <c r="E88" s="2">
        <v>333.31</v>
      </c>
      <c r="F88" s="2">
        <v>35.35</v>
      </c>
      <c r="G88" s="2">
        <v>29.84</v>
      </c>
      <c r="H88" s="2">
        <v>4164.83</v>
      </c>
      <c r="I88" s="2">
        <v>3867.2</v>
      </c>
      <c r="J88" s="2">
        <v>571.52</v>
      </c>
      <c r="K88" s="2">
        <v>1294.28</v>
      </c>
      <c r="L88" s="2">
        <v>7217.53</v>
      </c>
      <c r="M88" s="2">
        <v>6096.13</v>
      </c>
      <c r="N88" s="2">
        <v>1000</v>
      </c>
      <c r="O88" s="2">
        <v>1000</v>
      </c>
      <c r="P88" s="9"/>
      <c r="Q88" s="2">
        <f>SUM(OSRRefD21_6_0x)+IFERROR(SUM(OSRRefE21_6_0x),0)</f>
        <v>25777.49</v>
      </c>
    </row>
    <row r="89" spans="1:17" s="34" customFormat="1" hidden="1" outlineLevel="1" x14ac:dyDescent="0.25">
      <c r="A89" s="35"/>
      <c r="B89" s="10" t="str">
        <f>CONCATENATE("          ","6307", " - ","POSTAGE")</f>
        <v xml:space="preserve">          6307 - POSTAGE</v>
      </c>
      <c r="C89" s="11"/>
      <c r="D89" s="2"/>
      <c r="E89" s="2"/>
      <c r="F89" s="2"/>
      <c r="G89" s="2"/>
      <c r="H89" s="2"/>
      <c r="I89" s="2">
        <v>300</v>
      </c>
      <c r="J89" s="2">
        <v>-299.5</v>
      </c>
      <c r="K89" s="2"/>
      <c r="L89" s="2"/>
      <c r="M89" s="2"/>
      <c r="N89" s="2"/>
      <c r="O89" s="2"/>
      <c r="P89" s="9"/>
      <c r="Q89" s="2">
        <f>SUM(OSRRefD21_6_1x)+IFERROR(SUM(OSRRefE21_6_1x),0)</f>
        <v>0.5</v>
      </c>
    </row>
    <row r="90" spans="1:17" s="34" customFormat="1" collapsed="1" x14ac:dyDescent="0.25">
      <c r="A90" s="35"/>
      <c r="B90" s="11" t="str">
        <f>CONCATENATE("     ","General                                           ")</f>
        <v xml:space="preserve">     General                                           </v>
      </c>
      <c r="C90" s="11"/>
      <c r="D90" s="1">
        <f>SUM(OSRRefD21_7x_0)</f>
        <v>-4794.1899999999996</v>
      </c>
      <c r="E90" s="1">
        <f>SUM(OSRRefD21_7x_1)</f>
        <v>0</v>
      </c>
      <c r="F90" s="1">
        <f>SUM(OSRRefD21_7x_2)</f>
        <v>0</v>
      </c>
      <c r="G90" s="1">
        <f>SUM(OSRRefD21_7x_3)</f>
        <v>-40</v>
      </c>
      <c r="H90" s="1">
        <f>SUM(OSRRefD21_7x_4)</f>
        <v>3792.73</v>
      </c>
      <c r="I90" s="1">
        <f>SUM(OSRRefD21_7x_5)</f>
        <v>-0.99</v>
      </c>
      <c r="J90" s="1">
        <f>SUM(OSRRefD21_7x_6)</f>
        <v>4.63</v>
      </c>
      <c r="K90" s="1">
        <f>SUM(OSRRefD21_7x_7)</f>
        <v>-4.21</v>
      </c>
      <c r="L90" s="1">
        <f>SUM(OSRRefD21_7x_8)</f>
        <v>0</v>
      </c>
      <c r="M90" s="1">
        <f>SUM(OSRRefD21_7x_9)</f>
        <v>-0.99</v>
      </c>
      <c r="N90" s="1">
        <f>SUM(OSRRefE21_7x_0)</f>
        <v>1250</v>
      </c>
      <c r="O90" s="1">
        <f>SUM(OSRRefE21_7x_1)</f>
        <v>0</v>
      </c>
      <c r="Q90" s="2">
        <f>SUM(OSRRefD20_7x)+IFERROR(SUM(OSRRefE20_7x),0)</f>
        <v>206.98000000000047</v>
      </c>
    </row>
    <row r="91" spans="1:17" s="34" customFormat="1" hidden="1" outlineLevel="1" x14ac:dyDescent="0.25">
      <c r="A91" s="35"/>
      <c r="B91" s="10" t="str">
        <f>CONCATENATE("          ","6269", " - ","ENTERTAINMENT")</f>
        <v xml:space="preserve">          6269 - ENTERTAINMENT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>
        <v>1250</v>
      </c>
      <c r="O91" s="2">
        <v>0</v>
      </c>
      <c r="P91" s="9"/>
      <c r="Q91" s="2">
        <f>SUM(OSRRefD21_7_0x)+IFERROR(SUM(OSRRefE21_7_0x),0)</f>
        <v>1250</v>
      </c>
    </row>
    <row r="92" spans="1:17" s="34" customFormat="1" hidden="1" outlineLevel="1" x14ac:dyDescent="0.25">
      <c r="A92" s="35"/>
      <c r="B92" s="10" t="str">
        <f>CONCATENATE("          ","6279", " - ","GENERAL EXPENSE")</f>
        <v xml:space="preserve">          6279 - GENERAL EXPENSE</v>
      </c>
      <c r="C92" s="11"/>
      <c r="D92" s="2">
        <v>-4794.1899999999996</v>
      </c>
      <c r="E92" s="2"/>
      <c r="F92" s="2"/>
      <c r="G92" s="2">
        <v>-40</v>
      </c>
      <c r="H92" s="2">
        <v>3792.73</v>
      </c>
      <c r="I92" s="2">
        <v>-0.99</v>
      </c>
      <c r="J92" s="2">
        <v>4.63</v>
      </c>
      <c r="K92" s="2">
        <v>-4.21</v>
      </c>
      <c r="L92" s="2">
        <v>0</v>
      </c>
      <c r="M92" s="2">
        <v>-0.99</v>
      </c>
      <c r="N92" s="2"/>
      <c r="O92" s="2"/>
      <c r="P92" s="9"/>
      <c r="Q92" s="2">
        <f>SUM(OSRRefD21_7_1x)+IFERROR(SUM(OSRRefE21_7_1x),0)</f>
        <v>-1043.0199999999995</v>
      </c>
    </row>
    <row r="93" spans="1:17" s="34" customFormat="1" collapsed="1" x14ac:dyDescent="0.25">
      <c r="A93" s="35"/>
      <c r="B93" s="11" t="str">
        <f>CONCATENATE("     ","Inventory Adjustment                              ")</f>
        <v xml:space="preserve">     Inventory Adjustment                              </v>
      </c>
      <c r="C93" s="11"/>
      <c r="D93" s="1">
        <f>SUM(OSRRefD21_8x_0)</f>
        <v>1000</v>
      </c>
      <c r="E93" s="1">
        <f>SUM(OSRRefD21_8x_1)</f>
        <v>1000</v>
      </c>
      <c r="F93" s="1">
        <f>SUM(OSRRefD21_8x_2)</f>
        <v>1000</v>
      </c>
      <c r="G93" s="1">
        <f>SUM(OSRRefD21_8x_3)</f>
        <v>1000</v>
      </c>
      <c r="H93" s="1">
        <f>SUM(OSRRefD21_8x_4)</f>
        <v>1000</v>
      </c>
      <c r="I93" s="1">
        <f>SUM(OSRRefD21_8x_5)</f>
        <v>6000</v>
      </c>
      <c r="J93" s="1">
        <f>SUM(OSRRefD21_8x_6)</f>
        <v>1000</v>
      </c>
      <c r="K93" s="1">
        <f>SUM(OSRRefD21_8x_7)</f>
        <v>1000</v>
      </c>
      <c r="L93" s="1">
        <f>SUM(OSRRefD21_8x_8)</f>
        <v>1000</v>
      </c>
      <c r="M93" s="1">
        <f>SUM(OSRRefD21_8x_9)</f>
        <v>1000</v>
      </c>
      <c r="N93" s="1">
        <f>SUM(OSRRefE21_8x_0)</f>
        <v>1000</v>
      </c>
      <c r="O93" s="1">
        <f>SUM(OSRRefE21_8x_1)</f>
        <v>15000</v>
      </c>
      <c r="Q93" s="2">
        <f>SUM(OSRRefD20_8x)+IFERROR(SUM(OSRRefE20_8x),0)</f>
        <v>31000</v>
      </c>
    </row>
    <row r="94" spans="1:17" s="34" customFormat="1" hidden="1" outlineLevel="1" x14ac:dyDescent="0.25">
      <c r="A94" s="35"/>
      <c r="B94" s="10" t="str">
        <f>CONCATENATE("          ","6408", " - ","INVENTORY ADJUSTMENT")</f>
        <v xml:space="preserve">          6408 - INVENTORY ADJUSTMENT</v>
      </c>
      <c r="C94" s="11"/>
      <c r="D94" s="2">
        <v>1000</v>
      </c>
      <c r="E94" s="2">
        <v>1000</v>
      </c>
      <c r="F94" s="2">
        <v>1000</v>
      </c>
      <c r="G94" s="2">
        <v>1000</v>
      </c>
      <c r="H94" s="2">
        <v>1000</v>
      </c>
      <c r="I94" s="2">
        <v>6000</v>
      </c>
      <c r="J94" s="2">
        <v>1000</v>
      </c>
      <c r="K94" s="2">
        <v>1000</v>
      </c>
      <c r="L94" s="2">
        <v>1000</v>
      </c>
      <c r="M94" s="2">
        <v>1000</v>
      </c>
      <c r="N94" s="2">
        <v>1000</v>
      </c>
      <c r="O94" s="2">
        <v>15000</v>
      </c>
      <c r="P94" s="9"/>
      <c r="Q94" s="2">
        <f>SUM(OSRRefD21_8_0x)+IFERROR(SUM(OSRRefE21_8_0x),0)</f>
        <v>31000</v>
      </c>
    </row>
    <row r="95" spans="1:17" s="34" customFormat="1" collapsed="1" x14ac:dyDescent="0.25">
      <c r="A95" s="35"/>
      <c r="B95" s="11" t="str">
        <f>CONCATENATE("     ","Repair and Maintenance                            ")</f>
        <v xml:space="preserve">     Repair and Maintenance                            </v>
      </c>
      <c r="C95" s="11"/>
      <c r="D95" s="1">
        <f>SUM(OSRRefD21_9x_0)</f>
        <v>22.86</v>
      </c>
      <c r="E95" s="1">
        <f>SUM(OSRRefD21_9x_1)</f>
        <v>0</v>
      </c>
      <c r="F95" s="1">
        <f>SUM(OSRRefD21_9x_2)</f>
        <v>68.94</v>
      </c>
      <c r="G95" s="1">
        <f>SUM(OSRRefD21_9x_3)</f>
        <v>19.670000000000002</v>
      </c>
      <c r="H95" s="1">
        <f>SUM(OSRRefD21_9x_4)</f>
        <v>22.16</v>
      </c>
      <c r="I95" s="1">
        <f>SUM(OSRRefD21_9x_5)</f>
        <v>15.84</v>
      </c>
      <c r="J95" s="1">
        <f>SUM(OSRRefD21_9x_6)</f>
        <v>17.91</v>
      </c>
      <c r="K95" s="1">
        <f>SUM(OSRRefD21_9x_7)</f>
        <v>15.47</v>
      </c>
      <c r="L95" s="1">
        <f>SUM(OSRRefD21_9x_8)</f>
        <v>24.47</v>
      </c>
      <c r="M95" s="1">
        <f>SUM(OSRRefD21_9x_9)</f>
        <v>254.93</v>
      </c>
      <c r="N95" s="1">
        <f>SUM(OSRRefE21_9x_0)</f>
        <v>12140</v>
      </c>
      <c r="O95" s="1">
        <f>SUM(OSRRefE21_9x_1)</f>
        <v>140</v>
      </c>
      <c r="Q95" s="2">
        <f>SUM(OSRRefD20_9x)+IFERROR(SUM(OSRRefE20_9x),0)</f>
        <v>12742.25</v>
      </c>
    </row>
    <row r="96" spans="1:17" s="34" customFormat="1" hidden="1" outlineLevel="1" x14ac:dyDescent="0.25">
      <c r="A96" s="35"/>
      <c r="B96" s="10" t="str">
        <f>CONCATENATE("          ","6371", " - ","COMPUTER SOFTWARE MAINTENANCE")</f>
        <v xml:space="preserve">          6371 - COMPUTER SOFTWARE MAINTENANCE</v>
      </c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>
        <v>12000</v>
      </c>
      <c r="O96" s="2"/>
      <c r="P96" s="9"/>
      <c r="Q96" s="2">
        <f>SUM(OSRRefD21_9_0x)+IFERROR(SUM(OSRRefE21_9_0x),0)</f>
        <v>12000</v>
      </c>
    </row>
    <row r="97" spans="1:17" s="34" customFormat="1" hidden="1" outlineLevel="1" x14ac:dyDescent="0.25">
      <c r="A97" s="35"/>
      <c r="B97" s="10" t="str">
        <f>CONCATENATE("          ","6373", " - ","MAINTENANCE CONTRACTS")</f>
        <v xml:space="preserve">          6373 - MAINTENANCE CONTRACTS</v>
      </c>
      <c r="C97" s="11"/>
      <c r="D97" s="2">
        <v>22.86</v>
      </c>
      <c r="E97" s="2"/>
      <c r="F97" s="2">
        <v>43.83</v>
      </c>
      <c r="G97" s="2">
        <v>19.670000000000002</v>
      </c>
      <c r="H97" s="2">
        <v>22.16</v>
      </c>
      <c r="I97" s="2">
        <v>15.84</v>
      </c>
      <c r="J97" s="2">
        <v>17.91</v>
      </c>
      <c r="K97" s="2">
        <v>15.47</v>
      </c>
      <c r="L97" s="2">
        <v>24.47</v>
      </c>
      <c r="M97" s="2">
        <v>22.53</v>
      </c>
      <c r="N97" s="2">
        <v>40</v>
      </c>
      <c r="O97" s="2">
        <v>40</v>
      </c>
      <c r="P97" s="9"/>
      <c r="Q97" s="2">
        <f>SUM(OSRRefD21_9_1x)+IFERROR(SUM(OSRRefE21_9_1x),0)</f>
        <v>284.74</v>
      </c>
    </row>
    <row r="98" spans="1:17" s="34" customFormat="1" hidden="1" outlineLevel="1" x14ac:dyDescent="0.25">
      <c r="A98" s="35"/>
      <c r="B98" s="10" t="str">
        <f>CONCATENATE("          ","6375", " - ","OUTSIDE REPAIRS &amp; MAINTENANCE")</f>
        <v xml:space="preserve">          6375 - OUTSIDE REPAIRS &amp; MAINTENANCE</v>
      </c>
      <c r="C98" s="11"/>
      <c r="D98" s="2"/>
      <c r="E98" s="2"/>
      <c r="F98" s="2">
        <v>25.11</v>
      </c>
      <c r="G98" s="2"/>
      <c r="H98" s="2"/>
      <c r="I98" s="2"/>
      <c r="J98" s="2"/>
      <c r="K98" s="2"/>
      <c r="L98" s="2"/>
      <c r="M98" s="2">
        <v>232.4</v>
      </c>
      <c r="N98" s="2">
        <v>100</v>
      </c>
      <c r="O98" s="2">
        <v>100</v>
      </c>
      <c r="P98" s="9"/>
      <c r="Q98" s="2">
        <f>SUM(OSRRefD21_9_2x)+IFERROR(SUM(OSRRefE21_9_2x),0)</f>
        <v>457.51</v>
      </c>
    </row>
    <row r="99" spans="1:17" s="34" customFormat="1" collapsed="1" x14ac:dyDescent="0.25">
      <c r="A99" s="35"/>
      <c r="B99" s="11" t="str">
        <f>CONCATENATE("     ","Subscriptions &amp; Dues                              ")</f>
        <v xml:space="preserve">     Subscriptions &amp; Dues                              </v>
      </c>
      <c r="C99" s="11"/>
      <c r="D99" s="1">
        <f>SUM(OSRRefD21_10x_0)</f>
        <v>290</v>
      </c>
      <c r="E99" s="1">
        <f>SUM(OSRRefD21_10x_1)</f>
        <v>270</v>
      </c>
      <c r="F99" s="1">
        <f>SUM(OSRRefD21_10x_2)</f>
        <v>73.040000000000006</v>
      </c>
      <c r="G99" s="1">
        <f>SUM(OSRRefD21_10x_3)</f>
        <v>790.32</v>
      </c>
      <c r="H99" s="1">
        <f>SUM(OSRRefD21_10x_4)</f>
        <v>166.92</v>
      </c>
      <c r="I99" s="1">
        <f>SUM(OSRRefD21_10x_5)</f>
        <v>141.16</v>
      </c>
      <c r="J99" s="1">
        <f>SUM(OSRRefD21_10x_6)</f>
        <v>2180.9899999999998</v>
      </c>
      <c r="K99" s="1">
        <f>SUM(OSRRefD21_10x_7)</f>
        <v>181.41</v>
      </c>
      <c r="L99" s="1">
        <f>SUM(OSRRefD21_10x_8)</f>
        <v>232.79</v>
      </c>
      <c r="M99" s="1">
        <f>SUM(OSRRefD21_10x_9)</f>
        <v>328.71</v>
      </c>
      <c r="N99" s="1">
        <f>SUM(OSRRefE21_10x_0)</f>
        <v>300</v>
      </c>
      <c r="O99" s="1">
        <f>SUM(OSRRefE21_10x_1)</f>
        <v>300</v>
      </c>
      <c r="Q99" s="2">
        <f>SUM(OSRRefD20_10x)+IFERROR(SUM(OSRRefE20_10x),0)</f>
        <v>5255.34</v>
      </c>
    </row>
    <row r="100" spans="1:17" s="34" customFormat="1" hidden="1" outlineLevel="1" x14ac:dyDescent="0.25">
      <c r="A100" s="35"/>
      <c r="B100" s="10" t="str">
        <f>CONCATENATE("          ","6258", " - ","MEMBERSHIP DUES")</f>
        <v xml:space="preserve">          6258 - MEMBERSHIP DUES</v>
      </c>
      <c r="C100" s="11"/>
      <c r="D100" s="2">
        <v>290</v>
      </c>
      <c r="E100" s="2">
        <v>270</v>
      </c>
      <c r="F100" s="2">
        <v>73.040000000000006</v>
      </c>
      <c r="G100" s="2">
        <v>790.32</v>
      </c>
      <c r="H100" s="2">
        <v>166.92</v>
      </c>
      <c r="I100" s="2">
        <v>141.16</v>
      </c>
      <c r="J100" s="2">
        <v>328.91</v>
      </c>
      <c r="K100" s="2">
        <v>181.41</v>
      </c>
      <c r="L100" s="2">
        <v>232.79</v>
      </c>
      <c r="M100" s="2">
        <v>328.71</v>
      </c>
      <c r="N100" s="2">
        <v>300</v>
      </c>
      <c r="O100" s="2">
        <v>300</v>
      </c>
      <c r="P100" s="9"/>
      <c r="Q100" s="2">
        <f>SUM(OSRRefD21_10_0x)+IFERROR(SUM(OSRRefE21_10_0x),0)</f>
        <v>3403.26</v>
      </c>
    </row>
    <row r="101" spans="1:17" s="34" customFormat="1" hidden="1" outlineLevel="1" x14ac:dyDescent="0.25">
      <c r="A101" s="35"/>
      <c r="B101" s="10" t="str">
        <f>CONCATENATE("          ","6275", " - ","SUBSCRIPTIONS")</f>
        <v xml:space="preserve">          6275 - SUBSCRIPTIONS</v>
      </c>
      <c r="C101" s="11"/>
      <c r="D101" s="2"/>
      <c r="E101" s="2"/>
      <c r="F101" s="2"/>
      <c r="G101" s="2"/>
      <c r="H101" s="2"/>
      <c r="I101" s="2"/>
      <c r="J101" s="2">
        <v>1852.08</v>
      </c>
      <c r="K101" s="2"/>
      <c r="L101" s="2"/>
      <c r="M101" s="2"/>
      <c r="N101" s="2"/>
      <c r="O101" s="2"/>
      <c r="P101" s="9"/>
      <c r="Q101" s="2">
        <f>SUM(OSRRefD21_10_1x)+IFERROR(SUM(OSRRefE21_10_1x),0)</f>
        <v>1852.08</v>
      </c>
    </row>
    <row r="102" spans="1:17" s="34" customFormat="1" collapsed="1" x14ac:dyDescent="0.25">
      <c r="A102" s="35"/>
      <c r="B102" s="11" t="str">
        <f>CONCATENATE("     ","Supplies                                          ")</f>
        <v xml:space="preserve">     Supplies                                          </v>
      </c>
      <c r="C102" s="11"/>
      <c r="D102" s="1">
        <f>SUM(OSRRefD21_11x_0)</f>
        <v>792.76</v>
      </c>
      <c r="E102" s="1">
        <f>SUM(OSRRefD21_11x_1)</f>
        <v>197.4</v>
      </c>
      <c r="F102" s="1">
        <f>SUM(OSRRefD21_11x_2)</f>
        <v>98.81</v>
      </c>
      <c r="G102" s="1">
        <f>SUM(OSRRefD21_11x_3)</f>
        <v>146.28</v>
      </c>
      <c r="H102" s="1">
        <f>SUM(OSRRefD21_11x_4)</f>
        <v>311.44</v>
      </c>
      <c r="I102" s="1">
        <f>SUM(OSRRefD21_11x_5)</f>
        <v>522.95000000000005</v>
      </c>
      <c r="J102" s="1">
        <f>SUM(OSRRefD21_11x_6)</f>
        <v>2182.2599999999998</v>
      </c>
      <c r="K102" s="1">
        <f>SUM(OSRRefD21_11x_7)</f>
        <v>583.6</v>
      </c>
      <c r="L102" s="1">
        <f>SUM(OSRRefD21_11x_8)</f>
        <v>175.16</v>
      </c>
      <c r="M102" s="1">
        <f>SUM(OSRRefD21_11x_9)</f>
        <v>362.77</v>
      </c>
      <c r="N102" s="1">
        <f>SUM(OSRRefE21_11x_0)</f>
        <v>1200</v>
      </c>
      <c r="O102" s="1">
        <f>SUM(OSRRefE21_11x_1)</f>
        <v>700</v>
      </c>
      <c r="Q102" s="2">
        <f>SUM(OSRRefD20_11x)+IFERROR(SUM(OSRRefE20_11x),0)</f>
        <v>7273.43</v>
      </c>
    </row>
    <row r="103" spans="1:17" s="34" customFormat="1" hidden="1" outlineLevel="1" x14ac:dyDescent="0.25">
      <c r="A103" s="35"/>
      <c r="B103" s="10" t="str">
        <f>CONCATENATE("          ","6241", " - ","OFFICE EXPENSE")</f>
        <v xml:space="preserve">          6241 - OFFICE EXPENSE</v>
      </c>
      <c r="C103" s="11"/>
      <c r="D103" s="2">
        <v>159.66</v>
      </c>
      <c r="E103" s="2">
        <v>197.4</v>
      </c>
      <c r="F103" s="2">
        <v>98.81</v>
      </c>
      <c r="G103" s="2">
        <v>146.28</v>
      </c>
      <c r="H103" s="2">
        <v>311.44</v>
      </c>
      <c r="I103" s="2">
        <v>210.77</v>
      </c>
      <c r="J103" s="2">
        <v>85.24</v>
      </c>
      <c r="K103" s="2">
        <v>45</v>
      </c>
      <c r="L103" s="2">
        <v>160.69999999999999</v>
      </c>
      <c r="M103" s="2">
        <v>151.37</v>
      </c>
      <c r="N103" s="2">
        <v>300</v>
      </c>
      <c r="O103" s="2">
        <v>200</v>
      </c>
      <c r="P103" s="9"/>
      <c r="Q103" s="2">
        <f>SUM(OSRRefD21_11_0x)+IFERROR(SUM(OSRRefE21_11_0x),0)</f>
        <v>2066.67</v>
      </c>
    </row>
    <row r="104" spans="1:17" s="34" customFormat="1" hidden="1" outlineLevel="1" x14ac:dyDescent="0.25">
      <c r="A104" s="35"/>
      <c r="B104" s="10" t="str">
        <f>CONCATENATE("          ","6245", " - ","PRINTING")</f>
        <v xml:space="preserve">          6245 - PRINTING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>
        <v>500</v>
      </c>
      <c r="O104" s="2">
        <v>100</v>
      </c>
      <c r="P104" s="9"/>
      <c r="Q104" s="2">
        <f>SUM(OSRRefD21_11_1x)+IFERROR(SUM(OSRRefE21_11_1x),0)</f>
        <v>600</v>
      </c>
    </row>
    <row r="105" spans="1:17" s="34" customFormat="1" hidden="1" outlineLevel="1" x14ac:dyDescent="0.25">
      <c r="A105" s="35"/>
      <c r="B105" s="10" t="str">
        <f>CONCATENATE("          ","6247", " - ","STORE SUPPLIES")</f>
        <v xml:space="preserve">          6247 - STORE SUPPLIES</v>
      </c>
      <c r="C105" s="11"/>
      <c r="D105" s="2">
        <v>633.1</v>
      </c>
      <c r="E105" s="2"/>
      <c r="F105" s="2"/>
      <c r="G105" s="2"/>
      <c r="H105" s="2"/>
      <c r="I105" s="2">
        <v>312.18</v>
      </c>
      <c r="J105" s="2">
        <v>2097.02</v>
      </c>
      <c r="K105" s="2">
        <v>538.6</v>
      </c>
      <c r="L105" s="2">
        <v>14.46</v>
      </c>
      <c r="M105" s="2">
        <v>211.4</v>
      </c>
      <c r="N105" s="2">
        <v>400</v>
      </c>
      <c r="O105" s="2">
        <v>400</v>
      </c>
      <c r="P105" s="9"/>
      <c r="Q105" s="2">
        <f>SUM(OSRRefD21_11_2x)+IFERROR(SUM(OSRRefE21_11_2x),0)</f>
        <v>4606.76</v>
      </c>
    </row>
    <row r="106" spans="1:17" s="34" customFormat="1" collapsed="1" x14ac:dyDescent="0.25">
      <c r="A106" s="35"/>
      <c r="B106" s="11" t="str">
        <f>CONCATENATE("     ","Telephone/Data Lines                              ")</f>
        <v xml:space="preserve">     Telephone/Data Lines                              </v>
      </c>
      <c r="C106" s="11"/>
      <c r="D106" s="1">
        <f>SUM(OSRRefD21_12x_0)</f>
        <v>760.5</v>
      </c>
      <c r="E106" s="1">
        <f>SUM(OSRRefD21_12x_1)</f>
        <v>472.8</v>
      </c>
      <c r="F106" s="1">
        <f>SUM(OSRRefD21_12x_2)</f>
        <v>2635</v>
      </c>
      <c r="G106" s="1">
        <f>SUM(OSRRefD21_12x_3)</f>
        <v>-634.45000000000005</v>
      </c>
      <c r="H106" s="1">
        <f>SUM(OSRRefD21_12x_4)</f>
        <v>1346.65</v>
      </c>
      <c r="I106" s="1">
        <f>SUM(OSRRefD21_12x_5)</f>
        <v>462</v>
      </c>
      <c r="J106" s="1">
        <f>SUM(OSRRefD21_12x_6)</f>
        <v>1215.2</v>
      </c>
      <c r="K106" s="1">
        <f>SUM(OSRRefD21_12x_7)</f>
        <v>505.85</v>
      </c>
      <c r="L106" s="1">
        <f>SUM(OSRRefD21_12x_8)</f>
        <v>418.4</v>
      </c>
      <c r="M106" s="1">
        <f>SUM(OSRRefD21_12x_9)</f>
        <v>1003.95</v>
      </c>
      <c r="N106" s="1">
        <f>SUM(OSRRefE21_12x_0)</f>
        <v>600</v>
      </c>
      <c r="O106" s="1">
        <f>SUM(OSRRefE21_12x_1)</f>
        <v>600</v>
      </c>
      <c r="Q106" s="2">
        <f>SUM(OSRRefD20_12x)+IFERROR(SUM(OSRRefE20_12x),0)</f>
        <v>9385.9</v>
      </c>
    </row>
    <row r="107" spans="1:17" s="34" customFormat="1" hidden="1" outlineLevel="1" x14ac:dyDescent="0.25">
      <c r="A107" s="35"/>
      <c r="B107" s="10" t="str">
        <f>CONCATENATE("          ","6303", " - ","DATA PHONE LINES")</f>
        <v xml:space="preserve">          6303 - DATA PHONE LINES</v>
      </c>
      <c r="C107" s="11"/>
      <c r="D107" s="2">
        <v>295</v>
      </c>
      <c r="E107" s="2"/>
      <c r="F107" s="2">
        <v>885</v>
      </c>
      <c r="G107" s="2"/>
      <c r="H107" s="2">
        <v>885</v>
      </c>
      <c r="I107" s="2"/>
      <c r="J107" s="2">
        <v>295</v>
      </c>
      <c r="K107" s="2">
        <v>590</v>
      </c>
      <c r="L107" s="2"/>
      <c r="M107" s="2">
        <v>590</v>
      </c>
      <c r="N107" s="2">
        <v>300</v>
      </c>
      <c r="O107" s="2">
        <v>300</v>
      </c>
      <c r="P107" s="9"/>
      <c r="Q107" s="2">
        <f>SUM(OSRRefD21_12_0x)+IFERROR(SUM(OSRRefE21_12_0x),0)</f>
        <v>4140</v>
      </c>
    </row>
    <row r="108" spans="1:17" s="34" customFormat="1" hidden="1" outlineLevel="1" x14ac:dyDescent="0.25">
      <c r="A108" s="35"/>
      <c r="B108" s="10" t="str">
        <f>CONCATENATE("          ","6309", " - ","TELEPHONE")</f>
        <v xml:space="preserve">          6309 - TELEPHONE</v>
      </c>
      <c r="C108" s="11"/>
      <c r="D108" s="2">
        <v>465.5</v>
      </c>
      <c r="E108" s="2">
        <v>472.8</v>
      </c>
      <c r="F108" s="2">
        <v>1750</v>
      </c>
      <c r="G108" s="2">
        <v>-634.45000000000005</v>
      </c>
      <c r="H108" s="2">
        <v>461.65</v>
      </c>
      <c r="I108" s="2">
        <v>462</v>
      </c>
      <c r="J108" s="2">
        <v>920.2</v>
      </c>
      <c r="K108" s="2">
        <v>-84.15</v>
      </c>
      <c r="L108" s="2">
        <v>418.4</v>
      </c>
      <c r="M108" s="2">
        <v>413.95</v>
      </c>
      <c r="N108" s="2">
        <v>300</v>
      </c>
      <c r="O108" s="2">
        <v>300</v>
      </c>
      <c r="P108" s="9"/>
      <c r="Q108" s="2">
        <f>SUM(OSRRefD21_12_1x)+IFERROR(SUM(OSRRefE21_12_1x),0)</f>
        <v>5245.9000000000005</v>
      </c>
    </row>
    <row r="109" spans="1:17" s="34" customFormat="1" collapsed="1" x14ac:dyDescent="0.25">
      <c r="A109" s="35"/>
      <c r="B109" s="11" t="str">
        <f>CONCATENATE("     ","Travel                                            ")</f>
        <v xml:space="preserve">     Travel                                            </v>
      </c>
      <c r="C109" s="11"/>
      <c r="D109" s="1">
        <f>SUM(OSRRefD21_13x_0)</f>
        <v>0.16</v>
      </c>
      <c r="E109" s="1">
        <f>SUM(OSRRefD21_13x_1)</f>
        <v>0</v>
      </c>
      <c r="F109" s="1">
        <f>SUM(OSRRefD21_13x_2)</f>
        <v>0</v>
      </c>
      <c r="G109" s="1">
        <f>SUM(OSRRefD21_13x_3)</f>
        <v>0</v>
      </c>
      <c r="H109" s="1">
        <f>SUM(OSRRefD21_13x_4)</f>
        <v>0</v>
      </c>
      <c r="I109" s="1">
        <f>SUM(OSRRefD21_13x_5)</f>
        <v>0</v>
      </c>
      <c r="J109" s="1">
        <f>SUM(OSRRefD21_13x_6)</f>
        <v>0</v>
      </c>
      <c r="K109" s="1">
        <f>SUM(OSRRefD21_13x_7)</f>
        <v>0</v>
      </c>
      <c r="L109" s="1">
        <f>SUM(OSRRefD21_13x_8)</f>
        <v>0</v>
      </c>
      <c r="M109" s="1">
        <f>SUM(OSRRefD21_13x_9)</f>
        <v>0</v>
      </c>
      <c r="N109" s="1">
        <f>SUM(OSRRefE21_13x_0)</f>
        <v>0</v>
      </c>
      <c r="O109" s="1">
        <f>SUM(OSRRefE21_13x_1)</f>
        <v>0</v>
      </c>
      <c r="Q109" s="2">
        <f>SUM(OSRRefD20_13x)+IFERROR(SUM(OSRRefE20_13x),0)</f>
        <v>0.16</v>
      </c>
    </row>
    <row r="110" spans="1:17" s="34" customFormat="1" hidden="1" outlineLevel="1" x14ac:dyDescent="0.25">
      <c r="A110" s="35"/>
      <c r="B110" s="10" t="str">
        <f>CONCATENATE("          ","6292", " - ","TRAVEL/CONFERENCE")</f>
        <v xml:space="preserve">          6292 - TRAVEL/CONFERENCE</v>
      </c>
      <c r="C110" s="11"/>
      <c r="D110" s="2">
        <v>0.16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9"/>
      <c r="Q110" s="2">
        <f>SUM(OSRRefD21_13_0x)+IFERROR(SUM(OSRRefE21_13_0x),0)</f>
        <v>0.16</v>
      </c>
    </row>
    <row r="111" spans="1:17" s="30" customFormat="1" x14ac:dyDescent="0.2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3"/>
      <c r="B112" s="16" t="s">
        <v>291</v>
      </c>
      <c r="C112" s="22"/>
      <c r="D112" s="3">
        <f>--2056.93</f>
        <v>2056.9299999999998</v>
      </c>
      <c r="E112" s="3">
        <f>--1890.48</f>
        <v>1890.48</v>
      </c>
      <c r="F112" s="3">
        <f>--156953.37</f>
        <v>156953.37</v>
      </c>
      <c r="G112" s="3">
        <f>--267.41</f>
        <v>267.41000000000003</v>
      </c>
      <c r="H112" s="3">
        <f>--917.38</f>
        <v>917.38</v>
      </c>
      <c r="I112" s="3">
        <f>--11680.24</f>
        <v>11680.24</v>
      </c>
      <c r="J112" s="3">
        <f>--7055.88</f>
        <v>7055.88</v>
      </c>
      <c r="K112" s="3">
        <f>--145116.21</f>
        <v>145116.21</v>
      </c>
      <c r="L112" s="3">
        <f>--4864.23</f>
        <v>4864.2299999999996</v>
      </c>
      <c r="M112" s="3">
        <f>--505.94</f>
        <v>505.94</v>
      </c>
      <c r="N112" s="3">
        <v>2900</v>
      </c>
      <c r="O112" s="3">
        <v>3100</v>
      </c>
      <c r="Q112" s="2">
        <f>SUM(OSRRefD23_0x)+IFERROR(SUM(OSRRefE23_0x),0)</f>
        <v>337308.07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25">
      <c r="A114" s="6"/>
      <c r="B114" s="17" t="s">
        <v>274</v>
      </c>
      <c r="C114" s="17"/>
      <c r="D114" s="8">
        <f t="shared" ref="D114:O114" si="16">IFERROR(+D52-D55+D112, 0)</f>
        <v>-23436.260000000017</v>
      </c>
      <c r="E114" s="8">
        <f t="shared" si="16"/>
        <v>186193.67999999988</v>
      </c>
      <c r="F114" s="8">
        <f t="shared" si="16"/>
        <v>175534.74999999994</v>
      </c>
      <c r="G114" s="8">
        <f t="shared" si="16"/>
        <v>-34106.719999999987</v>
      </c>
      <c r="H114" s="8">
        <f t="shared" si="16"/>
        <v>-42002.010000000046</v>
      </c>
      <c r="I114" s="8">
        <f t="shared" si="16"/>
        <v>-36465.069999999978</v>
      </c>
      <c r="J114" s="8">
        <f t="shared" si="16"/>
        <v>156297.28000000006</v>
      </c>
      <c r="K114" s="8">
        <f t="shared" si="16"/>
        <v>126327.46</v>
      </c>
      <c r="L114" s="8">
        <f t="shared" si="16"/>
        <v>-39385.770000000033</v>
      </c>
      <c r="M114" s="8">
        <f t="shared" si="16"/>
        <v>-46258.900000000016</v>
      </c>
      <c r="N114" s="8">
        <f t="shared" si="16"/>
        <v>-46359.43975573653</v>
      </c>
      <c r="O114" s="8">
        <f t="shared" si="16"/>
        <v>-52398.047615799034</v>
      </c>
      <c r="Q114" s="8">
        <f>IFERROR(+Q52-Q55+Q112, 0)</f>
        <v>323940.95262846438</v>
      </c>
    </row>
    <row r="115" spans="1:17" s="6" customFormat="1" x14ac:dyDescent="0.25">
      <c r="B115" s="16"/>
      <c r="C115" s="16"/>
      <c r="D115" s="4">
        <f t="shared" ref="D115:O115" si="17">IFERROR(D114/D10, 0)</f>
        <v>-0.57527936430322679</v>
      </c>
      <c r="E115" s="4">
        <f t="shared" si="17"/>
        <v>0.22872181660324667</v>
      </c>
      <c r="F115" s="4">
        <f t="shared" si="17"/>
        <v>0.92880079733007004</v>
      </c>
      <c r="G115" s="4">
        <f t="shared" si="17"/>
        <v>-1.0700422724600285</v>
      </c>
      <c r="H115" s="4">
        <f t="shared" si="17"/>
        <v>-6.5193584637401418</v>
      </c>
      <c r="I115" s="4">
        <f t="shared" si="17"/>
        <v>-2.6722500573435237</v>
      </c>
      <c r="J115" s="4">
        <f t="shared" si="17"/>
        <v>0.22079583152818186</v>
      </c>
      <c r="K115" s="4">
        <f t="shared" si="17"/>
        <v>2.0232496608630335</v>
      </c>
      <c r="L115" s="4">
        <f t="shared" si="17"/>
        <v>-3.372083784605246</v>
      </c>
      <c r="M115" s="4">
        <f t="shared" si="17"/>
        <v>-1.2569222713935249</v>
      </c>
      <c r="N115" s="4">
        <f t="shared" si="17"/>
        <v>-1.3416130735273197</v>
      </c>
      <c r="O115" s="4">
        <f t="shared" si="17"/>
        <v>-3.4976335101661462</v>
      </c>
      <c r="P115" s="18"/>
      <c r="Q115" s="4">
        <f>IFERROR(Q114/Q10, 0)</f>
        <v>0.16493159970461091</v>
      </c>
    </row>
    <row r="116" spans="1:17" x14ac:dyDescent="0.2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25">
      <c r="A117" s="25"/>
      <c r="B117" s="6" t="s">
        <v>125</v>
      </c>
      <c r="C117" s="6"/>
      <c r="D117" s="3">
        <v>19963.62</v>
      </c>
      <c r="E117" s="3">
        <v>124358.11</v>
      </c>
      <c r="F117" s="3">
        <v>49045.84</v>
      </c>
      <c r="G117" s="3">
        <v>39644.76</v>
      </c>
      <c r="H117" s="3">
        <v>-61065.31</v>
      </c>
      <c r="I117" s="3">
        <v>25054.06</v>
      </c>
      <c r="J117" s="3">
        <v>130406.49</v>
      </c>
      <c r="K117" s="3">
        <v>42141.72</v>
      </c>
      <c r="L117" s="3">
        <v>17439.740000000002</v>
      </c>
      <c r="M117" s="3">
        <v>13544</v>
      </c>
      <c r="N117" s="3">
        <v>25174</v>
      </c>
      <c r="O117" s="3">
        <v>13684</v>
      </c>
      <c r="Q117" s="2">
        <f>SUM(OSRRefD28_0x)+IFERROR(SUM(OSRRefE28_0x),0)</f>
        <v>439391.03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.75" thickBot="1" x14ac:dyDescent="0.3">
      <c r="A119" s="6"/>
      <c r="B119" s="17" t="s">
        <v>124</v>
      </c>
      <c r="C119" s="17"/>
      <c r="D119" s="7">
        <f t="shared" ref="D119:O119" si="18">IFERROR(+D114-D117, 0)</f>
        <v>-43399.880000000019</v>
      </c>
      <c r="E119" s="7">
        <f t="shared" si="18"/>
        <v>61835.569999999876</v>
      </c>
      <c r="F119" s="7">
        <f t="shared" si="18"/>
        <v>126488.90999999995</v>
      </c>
      <c r="G119" s="7">
        <f t="shared" si="18"/>
        <v>-73751.479999999981</v>
      </c>
      <c r="H119" s="7">
        <f t="shared" si="18"/>
        <v>19063.299999999952</v>
      </c>
      <c r="I119" s="7">
        <f t="shared" si="18"/>
        <v>-61519.129999999976</v>
      </c>
      <c r="J119" s="7">
        <f t="shared" si="18"/>
        <v>25890.790000000052</v>
      </c>
      <c r="K119" s="7">
        <f t="shared" si="18"/>
        <v>84185.74</v>
      </c>
      <c r="L119" s="7">
        <f t="shared" si="18"/>
        <v>-56825.510000000038</v>
      </c>
      <c r="M119" s="7">
        <f t="shared" si="18"/>
        <v>-59802.900000000016</v>
      </c>
      <c r="N119" s="7">
        <f t="shared" si="18"/>
        <v>-71533.43975573653</v>
      </c>
      <c r="O119" s="7">
        <f t="shared" si="18"/>
        <v>-66082.047615799034</v>
      </c>
      <c r="Q119" s="7">
        <f>IFERROR(+Q114-Q117, 0)</f>
        <v>-115450.07737153565</v>
      </c>
    </row>
    <row r="120" spans="1:17" ht="15.75" thickTop="1" x14ac:dyDescent="0.25">
      <c r="A120" s="5"/>
      <c r="B120" s="5"/>
      <c r="C120" s="5"/>
      <c r="D120" s="4">
        <f t="shared" ref="D120:O120" si="19">IFERROR(D119/D10, 0)</f>
        <v>-1.0653173918208929</v>
      </c>
      <c r="E120" s="4">
        <f t="shared" si="19"/>
        <v>7.5959312373530638E-2</v>
      </c>
      <c r="F120" s="4">
        <f t="shared" si="19"/>
        <v>0.66928628355018849</v>
      </c>
      <c r="G120" s="4">
        <f t="shared" si="19"/>
        <v>-2.313831446016807</v>
      </c>
      <c r="H120" s="4">
        <f t="shared" si="19"/>
        <v>2.9589175899395528</v>
      </c>
      <c r="I120" s="4">
        <f t="shared" si="19"/>
        <v>-4.5082732233949843</v>
      </c>
      <c r="J120" s="4">
        <f t="shared" si="19"/>
        <v>3.6575035131587351E-2</v>
      </c>
      <c r="K120" s="4">
        <f t="shared" si="19"/>
        <v>1.3483115223285858</v>
      </c>
      <c r="L120" s="4">
        <f t="shared" si="19"/>
        <v>-4.8652186011070295</v>
      </c>
      <c r="M120" s="4">
        <f t="shared" si="19"/>
        <v>-1.624932648720999</v>
      </c>
      <c r="N120" s="4">
        <f t="shared" si="19"/>
        <v>-2.0701328246487205</v>
      </c>
      <c r="O120" s="4">
        <f t="shared" si="19"/>
        <v>-4.4110571801481235</v>
      </c>
      <c r="P120" s="18"/>
      <c r="Q120" s="4">
        <f>IFERROR(Q119/Q10, 0)</f>
        <v>-5.8780360409532634E-2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292</v>
      </c>
      <c r="C123" s="17"/>
      <c r="D123" s="7">
        <f t="shared" ref="D123:O123" si="20">IFERROR(SUM(D119:D122), 0)</f>
        <v>-43400.945317391837</v>
      </c>
      <c r="E123" s="7">
        <f t="shared" si="20"/>
        <v>61835.645959312249</v>
      </c>
      <c r="F123" s="7">
        <f t="shared" si="20"/>
        <v>126489.57928628349</v>
      </c>
      <c r="G123" s="7">
        <f t="shared" si="20"/>
        <v>-73753.793831446004</v>
      </c>
      <c r="H123" s="7">
        <f t="shared" si="20"/>
        <v>19066.25891758989</v>
      </c>
      <c r="I123" s="7">
        <f t="shared" si="20"/>
        <v>-61523.638273223369</v>
      </c>
      <c r="J123" s="7">
        <f t="shared" si="20"/>
        <v>25890.826575035182</v>
      </c>
      <c r="K123" s="7">
        <f t="shared" si="20"/>
        <v>84187.088311522341</v>
      </c>
      <c r="L123" s="7">
        <f t="shared" si="20"/>
        <v>-56830.375218601148</v>
      </c>
      <c r="M123" s="7">
        <f t="shared" si="20"/>
        <v>-59804.524932648739</v>
      </c>
      <c r="N123" s="7">
        <f t="shared" si="20"/>
        <v>-71535.509888561181</v>
      </c>
      <c r="O123" s="7">
        <f t="shared" si="20"/>
        <v>-66086.458672979177</v>
      </c>
      <c r="Q123" s="7">
        <f>IFERROR(SUM(Q119:Q122), 0)</f>
        <v>-115450.13615189606</v>
      </c>
    </row>
    <row r="124" spans="1:17" ht="15.75" thickTop="1" x14ac:dyDescent="0.25">
      <c r="A124" s="5"/>
      <c r="C124" s="5"/>
      <c r="D124" s="4">
        <f t="shared" ref="D124:O124" si="21">IFERROR(D123/D10, 0)</f>
        <v>-1.0653435416891717</v>
      </c>
      <c r="E124" s="4">
        <f t="shared" si="21"/>
        <v>7.5959405682561931E-2</v>
      </c>
      <c r="F124" s="4">
        <f t="shared" si="21"/>
        <v>0.66928982492096434</v>
      </c>
      <c r="G124" s="4">
        <f t="shared" si="21"/>
        <v>-2.3139040386747523</v>
      </c>
      <c r="H124" s="4">
        <f t="shared" si="21"/>
        <v>2.9593768594943546</v>
      </c>
      <c r="I124" s="4">
        <f t="shared" si="21"/>
        <v>-4.5086036007500727</v>
      </c>
      <c r="J124" s="4">
        <f t="shared" si="21"/>
        <v>3.657508679989082E-2</v>
      </c>
      <c r="K124" s="4">
        <f t="shared" si="21"/>
        <v>1.3483331167691792</v>
      </c>
      <c r="L124" s="4">
        <f t="shared" si="21"/>
        <v>-4.8656351455786337</v>
      </c>
      <c r="M124" s="4">
        <f t="shared" si="21"/>
        <v>-1.6249768005282339</v>
      </c>
      <c r="N124" s="4">
        <f t="shared" si="21"/>
        <v>-2.0701927329926546</v>
      </c>
      <c r="O124" s="4">
        <f t="shared" si="21"/>
        <v>-4.4113516235884909</v>
      </c>
      <c r="P124" s="18"/>
      <c r="Q124" s="4">
        <f>IFERROR(Q123/Q10, 0)</f>
        <v>-5.878039033702033E-2</v>
      </c>
    </row>
    <row r="125" spans="1:17" x14ac:dyDescent="0.25">
      <c r="A125" s="5"/>
      <c r="B125" s="27">
        <v>44330.012769791669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Q125" s="13"/>
    </row>
    <row r="126" spans="1:17" x14ac:dyDescent="0.25">
      <c r="A126" s="5"/>
      <c r="B126" s="31" t="s">
        <v>54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26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SUM(OSRRefD11x_7)</f>
        <v>15645.23</v>
      </c>
      <c r="L10" s="3">
        <f>SUM(OSRRefD11x_8)</f>
        <v>3314.99</v>
      </c>
      <c r="M10" s="3">
        <f>SUM(OSRRefD11x_9)</f>
        <v>-11152.18</v>
      </c>
      <c r="N10" s="3">
        <f>SUM(OSRRefE11x_0)</f>
        <v>6187.5</v>
      </c>
      <c r="O10" s="3">
        <f>SUM(OSRRefE11x_1)</f>
        <v>-3565.1</v>
      </c>
      <c r="P10" s="24"/>
      <c r="Q10" s="3">
        <f>SUM(OSRRefG11x)</f>
        <v>767702.21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6187.5</v>
      </c>
      <c r="O11" s="2">
        <v>-3565.1</v>
      </c>
      <c r="Q11" s="2">
        <f>SUM(OSRRefD11_0x)+IFERROR(SUM(OSRRefE11_0x),0)</f>
        <v>2622.4</v>
      </c>
    </row>
    <row r="12" spans="1:18" s="9" customFormat="1" hidden="1" outlineLevel="1" x14ac:dyDescent="0.25">
      <c r="A12" s="23"/>
      <c r="B12" s="10" t="str">
        <f>CONCATENATE("          ","4001", " - ","TAXABLE SALES-NEW TEXT")</f>
        <v xml:space="preserve">          4001 - TAXABLE SALES-NEW TEXT</v>
      </c>
      <c r="C12" s="22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>
        <f>--80675.4</f>
        <v>80675.399999999994</v>
      </c>
      <c r="K12" s="2">
        <f>--6211.31</f>
        <v>6211.31</v>
      </c>
      <c r="L12" s="2">
        <f>--747</f>
        <v>747</v>
      </c>
      <c r="M12" s="2">
        <f>--552.45</f>
        <v>552.45000000000005</v>
      </c>
      <c r="N12" s="2"/>
      <c r="O12" s="2"/>
      <c r="Q12" s="2">
        <f>SUM(OSRRefD11_1x)+IFERROR(SUM(OSRRefE11_1x),0)</f>
        <v>264005.38</v>
      </c>
    </row>
    <row r="13" spans="1:18" s="9" customFormat="1" hidden="1" outlineLevel="1" x14ac:dyDescent="0.25">
      <c r="A13" s="23"/>
      <c r="B13" s="10" t="str">
        <f>CONCATENATE("          ","4002", " - ","TAXABLE SALES-USED TEXT")</f>
        <v xml:space="preserve">          4002 - TAXABLE SALES-USED TEXT</v>
      </c>
      <c r="C13" s="22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>
        <f>--87429.78</f>
        <v>87429.78</v>
      </c>
      <c r="K13" s="2">
        <f>--3816.22</f>
        <v>3816.22</v>
      </c>
      <c r="L13" s="2">
        <f>--517.45</f>
        <v>517.45000000000005</v>
      </c>
      <c r="M13" s="2">
        <f>--680.7</f>
        <v>680.7</v>
      </c>
      <c r="N13" s="2"/>
      <c r="O13" s="2"/>
      <c r="Q13" s="2">
        <f>SUM(OSRRefD11_2x)+IFERROR(SUM(OSRRefE11_2x),0)</f>
        <v>227235.66</v>
      </c>
    </row>
    <row r="14" spans="1:18" s="9" customFormat="1" hidden="1" outlineLevel="1" x14ac:dyDescent="0.25">
      <c r="A14" s="23"/>
      <c r="B14" s="10" t="str">
        <f>CONCATENATE("          ","4100", " - ","NON-TAXABLE SALES")</f>
        <v xml:space="preserve">          4100 - NON-TAXABLE SALES</v>
      </c>
      <c r="C14" s="22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>
        <f>--112968.19</f>
        <v>112968.19</v>
      </c>
      <c r="K14" s="2">
        <f>--5617.7</f>
        <v>5617.7</v>
      </c>
      <c r="L14" s="2">
        <f>--2050.54</f>
        <v>2050.54</v>
      </c>
      <c r="M14" s="2">
        <f>-12385.33</f>
        <v>-12385.33</v>
      </c>
      <c r="N14" s="2"/>
      <c r="O14" s="2"/>
      <c r="Q14" s="2">
        <f>SUM(OSRRefD11_3x)+IFERROR(SUM(OSRRefE11_3x),0)</f>
        <v>273838.76999999996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4729.28</v>
      </c>
      <c r="E16" s="3">
        <f>SUM(OSRRefD14x_1)</f>
        <v>310994.06000000006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SUM(OSRRefD14x_6)</f>
        <v>187117.82</v>
      </c>
      <c r="K16" s="3">
        <f>SUM(OSRRefD14x_7)</f>
        <v>11974.380000000001</v>
      </c>
      <c r="L16" s="3">
        <f>SUM(OSRRefD14x_8)</f>
        <v>823.37</v>
      </c>
      <c r="M16" s="3">
        <f>SUM(OSRRefD14x_9)</f>
        <v>274.5</v>
      </c>
      <c r="N16" s="3">
        <f>SUM(OSRRefE14x_0)</f>
        <v>4596</v>
      </c>
      <c r="O16" s="3">
        <f>SUM(OSRRefE14x_1)</f>
        <v>-2648</v>
      </c>
      <c r="Q16" s="3">
        <f>SUM(OSRRefG14x)</f>
        <v>545145.22</v>
      </c>
    </row>
    <row r="17" spans="1:17" s="9" customFormat="1" hidden="1" outlineLevel="1" x14ac:dyDescent="0.25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4596</v>
      </c>
      <c r="O17" s="2">
        <v>-2648</v>
      </c>
      <c r="Q17" s="2">
        <f>SUM(OSRRefD14_0x)+IFERROR(SUM(OSRRefE14_0x),0)</f>
        <v>1948</v>
      </c>
    </row>
    <row r="18" spans="1:17" s="9" customFormat="1" hidden="1" outlineLevel="1" x14ac:dyDescent="0.25">
      <c r="A18" s="23"/>
      <c r="B18" s="10" t="str">
        <f>CONCATENATE("          ","5001", " - ","PURCHASES @ COST-NEW TEXT")</f>
        <v xml:space="preserve">          5001 - PURCHASES @ COST-NEW TEXT</v>
      </c>
      <c r="C18" s="22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>
        <v>88439.8</v>
      </c>
      <c r="K18" s="2">
        <v>7393.74</v>
      </c>
      <c r="L18" s="2">
        <v>225.24</v>
      </c>
      <c r="M18" s="2">
        <v>128.88999999999999</v>
      </c>
      <c r="N18" s="2"/>
      <c r="O18" s="2"/>
      <c r="Q18" s="2">
        <f>SUM(OSRRefD14_1x)+IFERROR(SUM(OSRRefE14_1x),0)</f>
        <v>300559.03000000003</v>
      </c>
    </row>
    <row r="19" spans="1:17" s="9" customFormat="1" hidden="1" outlineLevel="1" x14ac:dyDescent="0.25">
      <c r="A19" s="23"/>
      <c r="B19" s="10" t="str">
        <f>CONCATENATE("          ","5002", " - ","PURCHASES @ COST-USED TEXT")</f>
        <v xml:space="preserve">          5002 - PURCHASES @ COST-USED TEXT</v>
      </c>
      <c r="C19" s="22"/>
      <c r="D19" s="2">
        <v>3076.06</v>
      </c>
      <c r="E19" s="2">
        <v>136258.42000000001</v>
      </c>
      <c r="F19" s="2"/>
      <c r="G19" s="2"/>
      <c r="H19" s="2">
        <v>447.31</v>
      </c>
      <c r="I19" s="2">
        <v>-1146</v>
      </c>
      <c r="J19" s="2">
        <v>98678.02</v>
      </c>
      <c r="K19" s="2">
        <v>4580.6400000000003</v>
      </c>
      <c r="L19" s="2">
        <v>598.13</v>
      </c>
      <c r="M19" s="2">
        <v>145.61000000000001</v>
      </c>
      <c r="N19" s="2"/>
      <c r="O19" s="2"/>
      <c r="Q19" s="2">
        <f>SUM(OSRRefD14_2x)+IFERROR(SUM(OSRRefE14_2x),0)</f>
        <v>242638.19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1">IFERROR(+D10-D16, 0)</f>
        <v>2570.3600000000006</v>
      </c>
      <c r="E21" s="8">
        <f t="shared" si="1"/>
        <v>101052.75999999995</v>
      </c>
      <c r="F21" s="8">
        <f t="shared" si="1"/>
        <v>21581.43</v>
      </c>
      <c r="G21" s="8">
        <f t="shared" si="1"/>
        <v>1049.56</v>
      </c>
      <c r="H21" s="8">
        <f t="shared" si="1"/>
        <v>1705.9999999999998</v>
      </c>
      <c r="I21" s="8">
        <f t="shared" si="1"/>
        <v>5231.1400000000003</v>
      </c>
      <c r="J21" s="8">
        <f t="shared" si="1"/>
        <v>93955.549999999988</v>
      </c>
      <c r="K21" s="8">
        <f t="shared" si="1"/>
        <v>3670.8499999999985</v>
      </c>
      <c r="L21" s="8">
        <f t="shared" si="1"/>
        <v>2491.62</v>
      </c>
      <c r="M21" s="8">
        <f t="shared" si="1"/>
        <v>-11426.68</v>
      </c>
      <c r="N21" s="8">
        <f t="shared" si="1"/>
        <v>1591.5</v>
      </c>
      <c r="O21" s="8">
        <f t="shared" si="1"/>
        <v>-917.09999999999991</v>
      </c>
      <c r="Q21" s="8">
        <f>IFERROR(+Q10-Q16, 0)</f>
        <v>222556.99</v>
      </c>
    </row>
    <row r="22" spans="1:17" s="6" customFormat="1" x14ac:dyDescent="0.25">
      <c r="B22" s="16"/>
      <c r="C22" s="16"/>
      <c r="D22" s="4">
        <f t="shared" ref="D22:O22" si="2">IFERROR(D21/D10, 0)</f>
        <v>0.35212147448367326</v>
      </c>
      <c r="E22" s="4">
        <f t="shared" si="2"/>
        <v>0.24524581939498999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0.3342741078601647</v>
      </c>
      <c r="K22" s="4">
        <f t="shared" si="2"/>
        <v>0.23463061904491009</v>
      </c>
      <c r="L22" s="4">
        <f t="shared" si="2"/>
        <v>0.75162217683914578</v>
      </c>
      <c r="M22" s="4">
        <f t="shared" si="2"/>
        <v>1.0246140216531656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0.2899001554261515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4">
        <f>SUM(OSRRefD20x_0)</f>
        <v>0</v>
      </c>
      <c r="E24" s="14">
        <f>SUM(OSRRefD20x_1)</f>
        <v>0</v>
      </c>
      <c r="F24" s="14">
        <f>SUM(OSRRefD20x_2)</f>
        <v>0</v>
      </c>
      <c r="G24" s="14">
        <f>SUM(OSRRefD20x_3)</f>
        <v>0</v>
      </c>
      <c r="H24" s="14">
        <f>SUM(OSRRefD20x_4)</f>
        <v>0</v>
      </c>
      <c r="I24" s="14">
        <f>SUM(OSRRefD20x_5)</f>
        <v>0</v>
      </c>
      <c r="J24" s="14">
        <f>SUM(OSRRefD20x_6)</f>
        <v>0</v>
      </c>
      <c r="K24" s="14">
        <f>SUM(OSRRefD20x_7)</f>
        <v>0</v>
      </c>
      <c r="L24" s="14">
        <f>SUM(OSRRefD20x_8)</f>
        <v>0</v>
      </c>
      <c r="M24" s="14">
        <f>SUM(OSRRefD20x_9)</f>
        <v>0</v>
      </c>
      <c r="N24" s="14">
        <f>SUM(OSRRefE20x_0)</f>
        <v>0</v>
      </c>
      <c r="O24" s="14">
        <f>SUM(OSRRefE20x_1)</f>
        <v>0</v>
      </c>
      <c r="Q24" s="14">
        <f>SUM(OSRRefG20x)</f>
        <v>0</v>
      </c>
    </row>
    <row r="25" spans="1:17" s="34" customFormat="1" collapsed="1" x14ac:dyDescent="0.25">
      <c r="A25" s="35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SUM(OSRRefD21_0x_6)</f>
        <v>0</v>
      </c>
      <c r="K25" s="1">
        <f>SUM(OSRRefD21_0x_7)</f>
        <v>0</v>
      </c>
      <c r="L25" s="1">
        <f>SUM(OSRRefD21_0x_8)</f>
        <v>0</v>
      </c>
      <c r="M25" s="1">
        <f>SUM(OSRRefD21_0x_9)</f>
        <v>0</v>
      </c>
      <c r="N25" s="1">
        <f>SUM(OSRRefE21_0x_0)</f>
        <v>0</v>
      </c>
      <c r="O25" s="1">
        <f>SUM(OSRRefE21_0x_1)</f>
        <v>0</v>
      </c>
      <c r="Q25" s="2">
        <f>SUM(OSRRefD20_0x)+IFERROR(SUM(OSRRefE20_0x),0)</f>
        <v>0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4" customFormat="1" collapsed="1" x14ac:dyDescent="0.25">
      <c r="A34" s="35"/>
      <c r="B34" s="11" t="str">
        <f>CONCATENATE("     ","*Payroll                                          ")</f>
        <v xml:space="preserve">     *Payroll                                          </v>
      </c>
      <c r="C34" s="11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SUM(OSRRefD21_1x_6)</f>
        <v>0</v>
      </c>
      <c r="K34" s="1">
        <f>SUM(OSRRefD21_1x_7)</f>
        <v>0</v>
      </c>
      <c r="L34" s="1">
        <f>SUM(OSRRefD21_1x_8)</f>
        <v>0</v>
      </c>
      <c r="M34" s="1">
        <f>SUM(OSRRefD21_1x_9)</f>
        <v>0</v>
      </c>
      <c r="N34" s="1">
        <f>SUM(OSRRefE21_1x_0)</f>
        <v>0</v>
      </c>
      <c r="O34" s="1">
        <f>SUM(OSRRefE21_1x_1)</f>
        <v>0</v>
      </c>
      <c r="Q34" s="2">
        <f>SUM(OSRRefD20_1x)+IFERROR(SUM(OSRRefE20_1x),0)</f>
        <v>0</v>
      </c>
    </row>
    <row r="35" spans="1:17" s="34" customFormat="1" hidden="1" outlineLevel="1" x14ac:dyDescent="0.25">
      <c r="A35" s="35"/>
      <c r="B35" s="10" t="str">
        <f>CONCATENATE("          ","6001", " - ","ADMINISTRATIVE SALARIES")</f>
        <v xml:space="preserve">          6001 - ADMINISTRATIVE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25">
      <c r="A36" s="35"/>
      <c r="B36" s="10" t="str">
        <f>CONCATENATE("          ","6002", " - ","STAFF SALARIES")</f>
        <v xml:space="preserve">          6002 - STAFF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4" customFormat="1" hidden="1" outlineLevel="1" x14ac:dyDescent="0.25">
      <c r="A37" s="35"/>
      <c r="B37" s="10" t="str">
        <f>CONCATENATE("          ","6003", " - ","STAFF HOURLY-9 MONTH")</f>
        <v xml:space="preserve">          6003 - STAFF HOURLY-9 MONTH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25">
      <c r="A38" s="35"/>
      <c r="B38" s="10" t="str">
        <f>CONCATENATE("          ","6004", " - ","STAFF HOURLY")</f>
        <v xml:space="preserve">          6004 - STAFF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4" customFormat="1" hidden="1" outlineLevel="1" x14ac:dyDescent="0.25">
      <c r="A39" s="35"/>
      <c r="B39" s="10" t="str">
        <f>CONCATENATE("          ","6005", " - ","TEMPORARY WAGES-HOURLY")</f>
        <v xml:space="preserve">          6005 - TEMPORARY WAGES-HOURLY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4" customFormat="1" hidden="1" outlineLevel="1" x14ac:dyDescent="0.25">
      <c r="A40" s="35"/>
      <c r="B40" s="10" t="str">
        <f>CONCATENATE("          ","6006", " - ","TEMPORARY PART TIME")</f>
        <v xml:space="preserve">          6006 - TEMPORARY PART TIME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25">
      <c r="A41" s="35"/>
      <c r="B41" s="10" t="str">
        <f>CONCATENATE("          ","6007", " - ","STUDENT HOURLY")</f>
        <v xml:space="preserve">          6007 - STUDENT 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4" customFormat="1" hidden="1" outlineLevel="1" x14ac:dyDescent="0.25">
      <c r="A42" s="35"/>
      <c r="B42" s="10" t="str">
        <f>CONCATENATE("          ","6008", " - ","STUDENT HOURLY-FICA EXEMPT")</f>
        <v xml:space="preserve">          6008 - STUDENT HOURLY-FICA EXEMPT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4" customFormat="1" hidden="1" outlineLevel="1" x14ac:dyDescent="0.25">
      <c r="A43" s="35"/>
      <c r="B43" s="10" t="str">
        <f>CONCATENATE("          ","6009", " - ","TEMPORARY-SEASONAL")</f>
        <v xml:space="preserve">          6009 - TEMPORARY-SEASONAL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25">
      <c r="A44" s="35"/>
      <c r="B44" s="10" t="str">
        <f>CONCATENATE("          ","6010", " - ","GRATUITY")</f>
        <v xml:space="preserve">          6010 - GRATUITY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30" customFormat="1" x14ac:dyDescent="0.25">
      <c r="A45" s="21"/>
      <c r="B45" s="21"/>
      <c r="C45" s="2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25">
      <c r="A46" s="23"/>
      <c r="B46" s="16" t="s">
        <v>291</v>
      </c>
      <c r="C46" s="22"/>
      <c r="D46" s="3">
        <f t="shared" ref="D46:M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>
        <f t="shared" si="3"/>
        <v>0</v>
      </c>
      <c r="K46" s="3">
        <f t="shared" si="3"/>
        <v>0</v>
      </c>
      <c r="L46" s="3">
        <f t="shared" si="3"/>
        <v>0</v>
      </c>
      <c r="M46" s="3">
        <f t="shared" si="3"/>
        <v>0</v>
      </c>
      <c r="N46" s="3"/>
      <c r="O46" s="3"/>
      <c r="Q46" s="2">
        <f>SUM(OSRRefD23_0x)+IFERROR(SUM(OSRRefE23_0x),0)</f>
        <v>0</v>
      </c>
    </row>
    <row r="47" spans="1:17" x14ac:dyDescent="0.25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25">
      <c r="A48" s="6"/>
      <c r="B48" s="17" t="s">
        <v>274</v>
      </c>
      <c r="C48" s="17"/>
      <c r="D48" s="8">
        <f t="shared" ref="D48:O48" si="4">IFERROR(+D21-D24+D46, 0)</f>
        <v>2570.3600000000006</v>
      </c>
      <c r="E48" s="8">
        <f t="shared" si="4"/>
        <v>101052.75999999995</v>
      </c>
      <c r="F48" s="8">
        <f t="shared" si="4"/>
        <v>21581.43</v>
      </c>
      <c r="G48" s="8">
        <f t="shared" si="4"/>
        <v>1049.56</v>
      </c>
      <c r="H48" s="8">
        <f t="shared" si="4"/>
        <v>1705.9999999999998</v>
      </c>
      <c r="I48" s="8">
        <f t="shared" si="4"/>
        <v>5231.1400000000003</v>
      </c>
      <c r="J48" s="8">
        <f t="shared" si="4"/>
        <v>93955.549999999988</v>
      </c>
      <c r="K48" s="8">
        <f t="shared" si="4"/>
        <v>3670.8499999999985</v>
      </c>
      <c r="L48" s="8">
        <f t="shared" si="4"/>
        <v>2491.62</v>
      </c>
      <c r="M48" s="8">
        <f t="shared" si="4"/>
        <v>-11426.68</v>
      </c>
      <c r="N48" s="8">
        <f t="shared" si="4"/>
        <v>1591.5</v>
      </c>
      <c r="O48" s="8">
        <f t="shared" si="4"/>
        <v>-917.09999999999991</v>
      </c>
      <c r="Q48" s="8">
        <f>IFERROR(+Q21-Q24+Q46, 0)</f>
        <v>222556.99</v>
      </c>
    </row>
    <row r="49" spans="1:17" s="6" customFormat="1" x14ac:dyDescent="0.25">
      <c r="B49" s="16"/>
      <c r="C49" s="16"/>
      <c r="D49" s="4">
        <f t="shared" ref="D49:O49" si="5">IFERROR(D48/D10, 0)</f>
        <v>0.35212147448367326</v>
      </c>
      <c r="E49" s="4">
        <f t="shared" si="5"/>
        <v>0.24524581939498999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0.3342741078601647</v>
      </c>
      <c r="K49" s="4">
        <f t="shared" si="5"/>
        <v>0.23463061904491009</v>
      </c>
      <c r="L49" s="4">
        <f t="shared" si="5"/>
        <v>0.75162217683914578</v>
      </c>
      <c r="M49" s="4">
        <f t="shared" si="5"/>
        <v>1.0246140216531656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0.2899001554261515</v>
      </c>
    </row>
    <row r="50" spans="1:17" x14ac:dyDescent="0.25">
      <c r="A50" s="5"/>
      <c r="B50" s="6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5" customFormat="1" x14ac:dyDescent="0.25">
      <c r="A51" s="25"/>
      <c r="B51" s="6" t="s">
        <v>125</v>
      </c>
      <c r="C51" s="6"/>
      <c r="D51" s="3">
        <v>3510.74</v>
      </c>
      <c r="E51" s="3">
        <v>67290.34</v>
      </c>
      <c r="F51" s="3">
        <v>15848.49</v>
      </c>
      <c r="G51" s="3">
        <v>15171.31</v>
      </c>
      <c r="H51" s="3">
        <v>-26807.040000000001</v>
      </c>
      <c r="I51" s="3">
        <v>13092.95</v>
      </c>
      <c r="J51" s="3">
        <v>49358.07</v>
      </c>
      <c r="K51" s="3">
        <v>15600.35</v>
      </c>
      <c r="L51" s="3">
        <v>6909.61</v>
      </c>
      <c r="M51" s="3">
        <v>82.98</v>
      </c>
      <c r="N51" s="3">
        <v>7652</v>
      </c>
      <c r="O51" s="3">
        <v>1891</v>
      </c>
      <c r="Q51" s="2">
        <f>SUM(OSRRefD28_0x)+IFERROR(SUM(OSRRefE28_0x),0)</f>
        <v>169600.8</v>
      </c>
    </row>
    <row r="52" spans="1:17" x14ac:dyDescent="0.2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ht="15.75" thickBot="1" x14ac:dyDescent="0.3">
      <c r="A53" s="6"/>
      <c r="B53" s="17" t="s">
        <v>124</v>
      </c>
      <c r="C53" s="17"/>
      <c r="D53" s="7">
        <f t="shared" ref="D53:O53" si="6">IFERROR(+D48-D51, 0)</f>
        <v>-940.3799999999992</v>
      </c>
      <c r="E53" s="7">
        <f t="shared" si="6"/>
        <v>33762.419999999955</v>
      </c>
      <c r="F53" s="7">
        <f t="shared" si="6"/>
        <v>5732.9400000000005</v>
      </c>
      <c r="G53" s="7">
        <f t="shared" si="6"/>
        <v>-14121.75</v>
      </c>
      <c r="H53" s="7">
        <f t="shared" si="6"/>
        <v>28513.040000000001</v>
      </c>
      <c r="I53" s="7">
        <f t="shared" si="6"/>
        <v>-7861.81</v>
      </c>
      <c r="J53" s="7">
        <f t="shared" si="6"/>
        <v>44597.479999999989</v>
      </c>
      <c r="K53" s="7">
        <f t="shared" si="6"/>
        <v>-11929.500000000002</v>
      </c>
      <c r="L53" s="7">
        <f t="shared" si="6"/>
        <v>-4417.99</v>
      </c>
      <c r="M53" s="7">
        <f t="shared" si="6"/>
        <v>-11509.66</v>
      </c>
      <c r="N53" s="7">
        <f t="shared" si="6"/>
        <v>-6060.5</v>
      </c>
      <c r="O53" s="7">
        <f t="shared" si="6"/>
        <v>-2808.1</v>
      </c>
      <c r="Q53" s="7">
        <f>IFERROR(+Q48-Q51, 0)</f>
        <v>52956.19</v>
      </c>
    </row>
    <row r="54" spans="1:17" ht="15.75" thickTop="1" x14ac:dyDescent="0.2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8.1938309826053157E-2</v>
      </c>
      <c r="F54" s="4">
        <f t="shared" si="7"/>
        <v>0.1184860658060268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0.15866846439419</v>
      </c>
      <c r="K54" s="4">
        <f t="shared" si="7"/>
        <v>-0.76250077499659652</v>
      </c>
      <c r="L54" s="4">
        <f t="shared" si="7"/>
        <v>-1.3327310187964367</v>
      </c>
      <c r="M54" s="4">
        <f t="shared" si="7"/>
        <v>1.0320547193463521</v>
      </c>
      <c r="N54" s="4">
        <f t="shared" si="7"/>
        <v>-0.9794747474747475</v>
      </c>
      <c r="O54" s="4">
        <f t="shared" si="7"/>
        <v>0.78766374014754148</v>
      </c>
      <c r="P54" s="18"/>
      <c r="Q54" s="4">
        <f>IFERROR(Q53/Q10, 0)</f>
        <v>6.8980119257439687E-2</v>
      </c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2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292</v>
      </c>
      <c r="C57" s="17"/>
      <c r="D57" s="7">
        <f t="shared" ref="D57:O57" si="8">IFERROR(SUM(D53:D56), 0)</f>
        <v>-940.50882553112126</v>
      </c>
      <c r="E57" s="7">
        <f t="shared" si="8"/>
        <v>33762.501938309782</v>
      </c>
      <c r="F57" s="7">
        <f t="shared" si="8"/>
        <v>5733.0584860658064</v>
      </c>
      <c r="G57" s="7">
        <f t="shared" si="8"/>
        <v>-14127.865800368982</v>
      </c>
      <c r="H57" s="7">
        <f t="shared" si="8"/>
        <v>28526.738379526207</v>
      </c>
      <c r="I57" s="7">
        <f t="shared" si="8"/>
        <v>-7863.7385875490008</v>
      </c>
      <c r="J57" s="7">
        <f t="shared" si="8"/>
        <v>44597.63866846438</v>
      </c>
      <c r="K57" s="7">
        <f t="shared" si="8"/>
        <v>-11930.262500774998</v>
      </c>
      <c r="L57" s="7">
        <f t="shared" si="8"/>
        <v>-4419.3227310187958</v>
      </c>
      <c r="M57" s="7">
        <f t="shared" si="8"/>
        <v>-11508.627945280654</v>
      </c>
      <c r="N57" s="7">
        <f t="shared" si="8"/>
        <v>-6061.4794747474743</v>
      </c>
      <c r="O57" s="7">
        <f t="shared" si="8"/>
        <v>-2807.3123362598521</v>
      </c>
      <c r="Q57" s="7">
        <f>IFERROR(SUM(Q53:Q56), 0)</f>
        <v>52956.258980119259</v>
      </c>
    </row>
    <row r="58" spans="1:17" ht="15.75" thickTop="1" x14ac:dyDescent="0.25">
      <c r="A58" s="5"/>
      <c r="C58" s="5"/>
      <c r="D58" s="4">
        <f t="shared" ref="D58:O58" si="9">IFERROR(D57/D10, 0)</f>
        <v>-0.1288431793254354</v>
      </c>
      <c r="E58" s="4">
        <f t="shared" si="9"/>
        <v>8.1938508682847702E-2</v>
      </c>
      <c r="F58" s="4">
        <f t="shared" si="9"/>
        <v>0.11848851462771169</v>
      </c>
      <c r="G58" s="4">
        <f t="shared" si="9"/>
        <v>-6.1184489793981021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0.15866902890325177</v>
      </c>
      <c r="K58" s="4">
        <f t="shared" si="9"/>
        <v>-0.76254951194549381</v>
      </c>
      <c r="L58" s="4">
        <f t="shared" si="9"/>
        <v>-1.3331330504824437</v>
      </c>
      <c r="M58" s="4">
        <f t="shared" si="9"/>
        <v>1.0319621764785587</v>
      </c>
      <c r="N58" s="4">
        <f t="shared" si="9"/>
        <v>-0.9796330464238342</v>
      </c>
      <c r="O58" s="4">
        <f t="shared" si="9"/>
        <v>0.787442802799319</v>
      </c>
      <c r="P58" s="18"/>
      <c r="Q58" s="4">
        <f>IFERROR(Q57/Q10, 0)</f>
        <v>6.8980209110143451E-2</v>
      </c>
    </row>
    <row r="59" spans="1:17" x14ac:dyDescent="0.25">
      <c r="A59" s="5"/>
      <c r="B59" s="27">
        <v>44330.012769791669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Q59" s="13"/>
    </row>
    <row r="60" spans="1:17" x14ac:dyDescent="0.25">
      <c r="A60" s="5"/>
      <c r="B60" s="31" t="s">
        <v>54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Q60" s="13"/>
    </row>
    <row r="61" spans="1:17" x14ac:dyDescent="0.25">
      <c r="A61" s="5"/>
      <c r="B61" s="26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Q61" s="13"/>
    </row>
    <row r="62" spans="1:17" x14ac:dyDescent="0.25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Q6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22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SUM(OSRRefD11x_7)</f>
        <v>120315.20999999999</v>
      </c>
      <c r="L10" s="3">
        <f>SUM(OSRRefD11x_8)</f>
        <v>166752.73000000001</v>
      </c>
      <c r="M10" s="3">
        <f>SUM(OSRRefD11x_9)</f>
        <v>409112.63</v>
      </c>
      <c r="N10" s="3">
        <f>SUM(OSRRefE11x_0)</f>
        <v>215084</v>
      </c>
      <c r="O10" s="3">
        <f>SUM(OSRRefE11x_1)</f>
        <v>175901</v>
      </c>
      <c r="P10" s="24"/>
      <c r="Q10" s="3">
        <f>SUM(OSRRefG11x)</f>
        <v>2277978.5000000005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f>-7056.82</f>
        <v>-7056.82</v>
      </c>
      <c r="L11" s="2">
        <f>-11260.63</f>
        <v>-11260.63</v>
      </c>
      <c r="M11" s="2">
        <f>-12952.02</f>
        <v>-12952.02</v>
      </c>
      <c r="N11" s="2">
        <v>215084</v>
      </c>
      <c r="O11" s="2">
        <v>175901</v>
      </c>
      <c r="Q11" s="2">
        <f>SUM(OSRRefD11_0x)+IFERROR(SUM(OSRRefE11_0x),0)</f>
        <v>267574.25</v>
      </c>
    </row>
    <row r="12" spans="1:18" s="9" customFormat="1" hidden="1" outlineLevel="1" x14ac:dyDescent="0.25">
      <c r="A12" s="23"/>
      <c r="B12" s="10" t="str">
        <f>CONCATENATE("          ","4026", " - ","TAXABLE SALES-WRITING INSTRUME")</f>
        <v xml:space="preserve">          4026 - TAXABLE SALES-WRITING INSTRUME</v>
      </c>
      <c r="C12" s="22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/>
      <c r="O12" s="2"/>
      <c r="Q12" s="2">
        <f>SUM(OSRRefD11_1x)+IFERROR(SUM(OSRRefE11_1x),0)</f>
        <v>468.66</v>
      </c>
    </row>
    <row r="13" spans="1:18" s="9" customFormat="1" hidden="1" outlineLevel="1" x14ac:dyDescent="0.25">
      <c r="A13" s="23"/>
      <c r="B13" s="10" t="str">
        <f>CONCATENATE("          ","4027", " - ","TAXABLE SALES-SCHOOL SUPPLIES")</f>
        <v xml:space="preserve">          4027 - TAXABLE SALES-SCHOOL SUPPLIES</v>
      </c>
      <c r="C13" s="22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>
        <f>--5808.1</f>
        <v>5808.1</v>
      </c>
      <c r="L13" s="2">
        <f>--3028</f>
        <v>3028</v>
      </c>
      <c r="M13" s="2">
        <f>--6558.65</f>
        <v>6558.65</v>
      </c>
      <c r="N13" s="2"/>
      <c r="O13" s="2"/>
      <c r="Q13" s="2">
        <f>SUM(OSRRefD11_2x)+IFERROR(SUM(OSRRefE11_2x),0)</f>
        <v>56080.65</v>
      </c>
    </row>
    <row r="14" spans="1:18" s="9" customFormat="1" hidden="1" outlineLevel="1" x14ac:dyDescent="0.25">
      <c r="A14" s="23"/>
      <c r="B14" s="10" t="str">
        <f>CONCATENATE("          ","4028", " - ","TAXABLE SALES-ART/TECH")</f>
        <v xml:space="preserve">          4028 - TAXABLE SALES-ART/TECH</v>
      </c>
      <c r="C14" s="22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/>
      <c r="O14" s="2"/>
      <c r="Q14" s="2">
        <f>SUM(OSRRefD11_3x)+IFERROR(SUM(OSRRefE11_3x),0)</f>
        <v>34421.119999999995</v>
      </c>
    </row>
    <row r="15" spans="1:18" s="9" customFormat="1" hidden="1" outlineLevel="1" x14ac:dyDescent="0.25">
      <c r="A15" s="23"/>
      <c r="B15" s="10" t="str">
        <f>CONCATENATE("          ","4031", " - ","TAXABLE SALES-FOOD")</f>
        <v xml:space="preserve">          4031 - TAXABLE SALES-FOOD</v>
      </c>
      <c r="C15" s="22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/>
      <c r="O15" s="2"/>
      <c r="Q15" s="2">
        <f>SUM(OSRRefD11_4x)+IFERROR(SUM(OSRRefE11_4x),0)</f>
        <v>3836.04</v>
      </c>
    </row>
    <row r="16" spans="1:18" s="9" customFormat="1" hidden="1" outlineLevel="1" x14ac:dyDescent="0.25">
      <c r="A16" s="23"/>
      <c r="B16" s="10" t="str">
        <f>CONCATENATE("          ","4034", " - ","TAXABLE SALES-SODA")</f>
        <v xml:space="preserve">          4034 - TAXABLE SALES-SODA</v>
      </c>
      <c r="C16" s="22"/>
      <c r="D16" s="2">
        <f>--6.78</f>
        <v>6.78</v>
      </c>
      <c r="E16" s="2">
        <f t="shared" ref="E16:M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3"/>
      <c r="B17" s="10" t="str">
        <f>CONCATENATE("          ","4040", " - ","TAXABLE SALES-LOGO CLOTHING")</f>
        <v xml:space="preserve">          4040 - TAXABLE SALES-LOGO CLOTHING</v>
      </c>
      <c r="C17" s="22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>
        <f>--73245.08</f>
        <v>73245.08</v>
      </c>
      <c r="L17" s="2">
        <f>--82653.17</f>
        <v>82653.17</v>
      </c>
      <c r="M17" s="2">
        <f>--159179.58</f>
        <v>159179.57999999999</v>
      </c>
      <c r="N17" s="2"/>
      <c r="O17" s="2"/>
      <c r="Q17" s="2">
        <f>SUM(OSRRefD11_6x)+IFERROR(SUM(OSRRefE11_6x),0)</f>
        <v>913180.72999999986</v>
      </c>
    </row>
    <row r="18" spans="1:17" s="9" customFormat="1" hidden="1" outlineLevel="1" x14ac:dyDescent="0.25">
      <c r="A18" s="23"/>
      <c r="B18" s="10" t="str">
        <f>CONCATENATE("          ","4041", " - ","TAXABLE SALES-LOGO GIFTS")</f>
        <v xml:space="preserve">          4041 - TAXABLE SALES-LOGO GIFTS</v>
      </c>
      <c r="C18" s="22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>
        <f>--23539.79</f>
        <v>23539.79</v>
      </c>
      <c r="L18" s="2">
        <f>--47225.72</f>
        <v>47225.72</v>
      </c>
      <c r="M18" s="2">
        <f>--116178</f>
        <v>116178</v>
      </c>
      <c r="N18" s="2"/>
      <c r="O18" s="2"/>
      <c r="Q18" s="2">
        <f>SUM(OSRRefD11_7x)+IFERROR(SUM(OSRRefE11_7x),0)</f>
        <v>347536.81</v>
      </c>
    </row>
    <row r="19" spans="1:17" s="9" customFormat="1" hidden="1" outlineLevel="1" x14ac:dyDescent="0.25">
      <c r="A19" s="23"/>
      <c r="B19" s="10" t="str">
        <f>CONCATENATE("          ","4042", " - ","TAXABLE SALES-EVERYDAY GIFTS")</f>
        <v xml:space="preserve">          4042 - TAXABLE SALES-EVERYDAY GIFTS</v>
      </c>
      <c r="C19" s="22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>
        <f>--4190.99</f>
        <v>4190.99</v>
      </c>
      <c r="L19" s="2">
        <f>--10381.96</f>
        <v>10381.959999999999</v>
      </c>
      <c r="M19" s="2">
        <f>--9350.43</f>
        <v>9350.43</v>
      </c>
      <c r="N19" s="2"/>
      <c r="O19" s="2"/>
      <c r="Q19" s="2">
        <f>SUM(OSRRefD11_8x)+IFERROR(SUM(OSRRefE11_8x),0)</f>
        <v>83578.679999999993</v>
      </c>
    </row>
    <row r="20" spans="1:17" s="9" customFormat="1" hidden="1" outlineLevel="1" x14ac:dyDescent="0.25">
      <c r="A20" s="23"/>
      <c r="B20" s="10" t="str">
        <f>CONCATENATE("          ","4043", " - ","TAXABLE SALES-CARDS")</f>
        <v xml:space="preserve">          4043 - TAXABLE SALES-CARDS</v>
      </c>
      <c r="C20" s="22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>
        <f>--6192.38</f>
        <v>6192.38</v>
      </c>
      <c r="L20" s="2">
        <f>--8270.61</f>
        <v>8270.61</v>
      </c>
      <c r="M20" s="2">
        <f>--4423.21</f>
        <v>4423.21</v>
      </c>
      <c r="N20" s="2"/>
      <c r="O20" s="2"/>
      <c r="Q20" s="2">
        <f>SUM(OSRRefD11_9x)+IFERROR(SUM(OSRRefE11_9x),0)</f>
        <v>136806.69999999998</v>
      </c>
    </row>
    <row r="21" spans="1:17" s="9" customFormat="1" hidden="1" outlineLevel="1" x14ac:dyDescent="0.25">
      <c r="A21" s="23"/>
      <c r="B21" s="10" t="str">
        <f>CONCATENATE("          ","4044", " - ","TAXABLE SALES-ACCESSORIES")</f>
        <v xml:space="preserve">          4044 - TAXABLE SALES-ACCESSORIES</v>
      </c>
      <c r="C21" s="22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>
        <f>--2036.78</f>
        <v>2036.78</v>
      </c>
      <c r="L21" s="2">
        <f>--1774.45</f>
        <v>1774.45</v>
      </c>
      <c r="M21" s="2">
        <f>--4745.38</f>
        <v>4745.38</v>
      </c>
      <c r="N21" s="2"/>
      <c r="O21" s="2"/>
      <c r="Q21" s="2">
        <f>SUM(OSRRefD11_10x)+IFERROR(SUM(OSRRefE11_10x),0)</f>
        <v>36092.229999999996</v>
      </c>
    </row>
    <row r="22" spans="1:17" s="9" customFormat="1" hidden="1" outlineLevel="1" x14ac:dyDescent="0.25">
      <c r="A22" s="23"/>
      <c r="B22" s="10" t="str">
        <f>CONCATENATE("          ","4045", " - ","TAXABLE SALES-SPECIAL ORDERS")</f>
        <v xml:space="preserve">          4045 - TAXABLE SALES-SPECIAL ORDERS</v>
      </c>
      <c r="C22" s="22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/>
      <c r="O22" s="2"/>
      <c r="Q22" s="2">
        <f>SUM(OSRRefD11_11x)+IFERROR(SUM(OSRRefE11_11x),0)</f>
        <v>207242.34</v>
      </c>
    </row>
    <row r="23" spans="1:17" s="9" customFormat="1" hidden="1" outlineLevel="1" x14ac:dyDescent="0.25">
      <c r="A23" s="23"/>
      <c r="B23" s="10" t="str">
        <f>CONCATENATE("          ","4126", " - ","NON-TAXABLE SALES-WRITING INST")</f>
        <v xml:space="preserve">          4126 - NON-TAXABLE SALES-WRITING INST</v>
      </c>
      <c r="C23" s="22"/>
      <c r="D23" s="2">
        <f>--52.68</f>
        <v>52.68</v>
      </c>
      <c r="E23" s="2">
        <f t="shared" ref="E23:M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>
        <f t="shared" si="2"/>
        <v>0</v>
      </c>
      <c r="M23" s="2">
        <f t="shared" si="2"/>
        <v>0</v>
      </c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3"/>
      <c r="B24" s="10" t="str">
        <f>CONCATENATE("          ","4127", " - ","NON-TAXABLE SALES-SCHOOL SUPPL")</f>
        <v xml:space="preserve">          4127 - NON-TAXABLE SALES-SCHOOL SUPPL</v>
      </c>
      <c r="C24" s="22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/>
      <c r="O24" s="2"/>
      <c r="Q24" s="2">
        <f>SUM(OSRRefD11_13x)+IFERROR(SUM(OSRRefE11_13x),0)</f>
        <v>7100.6799999999994</v>
      </c>
    </row>
    <row r="25" spans="1:17" s="9" customFormat="1" hidden="1" outlineLevel="1" x14ac:dyDescent="0.25">
      <c r="A25" s="23"/>
      <c r="B25" s="10" t="str">
        <f>CONCATENATE("          ","4128", " - ","NON-TAXABLE SALES-ART/TECH")</f>
        <v xml:space="preserve">          4128 - NON-TAXABLE SALES-ART/TECH</v>
      </c>
      <c r="C25" s="22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/>
      <c r="O25" s="2"/>
      <c r="Q25" s="2">
        <f>SUM(OSRRefD11_14x)+IFERROR(SUM(OSRRefE11_14x),0)</f>
        <v>69.95</v>
      </c>
    </row>
    <row r="26" spans="1:17" s="9" customFormat="1" hidden="1" outlineLevel="1" x14ac:dyDescent="0.25">
      <c r="A26" s="23"/>
      <c r="B26" s="10" t="str">
        <f>CONCATENATE("          ","4131", " - ","NON-TAXABLE SALES-FOOD")</f>
        <v xml:space="preserve">          4131 - NON-TAXABLE SALES-FOOD</v>
      </c>
      <c r="C26" s="22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>
        <f>--934.88</f>
        <v>934.88</v>
      </c>
      <c r="L26" s="2">
        <f>--829.28</f>
        <v>829.28</v>
      </c>
      <c r="M26" s="2">
        <f>--975.93</f>
        <v>975.93</v>
      </c>
      <c r="N26" s="2"/>
      <c r="O26" s="2"/>
      <c r="Q26" s="2">
        <f>SUM(OSRRefD11_15x)+IFERROR(SUM(OSRRefE11_15x),0)</f>
        <v>9533.2000000000007</v>
      </c>
    </row>
    <row r="27" spans="1:17" s="9" customFormat="1" hidden="1" outlineLevel="1" x14ac:dyDescent="0.25">
      <c r="A27" s="23"/>
      <c r="B27" s="10" t="str">
        <f>CONCATENATE("          ","4132", " - ","NON-TAXABLE SALES-JUICE")</f>
        <v xml:space="preserve">          4132 - NON-TAXABLE SALES-JUICE</v>
      </c>
      <c r="C27" s="22"/>
      <c r="D27" s="2">
        <f>--22.49</f>
        <v>22.49</v>
      </c>
      <c r="E27" s="2">
        <f t="shared" ref="E27:M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>
        <f t="shared" si="4"/>
        <v>0</v>
      </c>
      <c r="L27" s="2">
        <f t="shared" si="4"/>
        <v>0</v>
      </c>
      <c r="M27" s="2">
        <f t="shared" si="4"/>
        <v>0</v>
      </c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3"/>
      <c r="B28" s="10" t="str">
        <f>CONCATENATE("          ","4133", " - ","NON-TAXABLE SALES-CANDY")</f>
        <v xml:space="preserve">          4133 - NON-TAXABLE SALES-CANDY</v>
      </c>
      <c r="C28" s="22"/>
      <c r="D28" s="2">
        <f>--68.28</f>
        <v>68.28</v>
      </c>
      <c r="E28" s="2">
        <f>--12.43</f>
        <v>12.43</v>
      </c>
      <c r="F28" s="2">
        <f t="shared" ref="F28:M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>
        <f t="shared" si="5"/>
        <v>0</v>
      </c>
      <c r="L28" s="2">
        <f t="shared" si="5"/>
        <v>0</v>
      </c>
      <c r="M28" s="2">
        <f t="shared" si="5"/>
        <v>0</v>
      </c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3"/>
      <c r="B29" s="10" t="str">
        <f>CONCATENATE("          ","4134", " - ","NON-TAXABLE SALES-SODA")</f>
        <v xml:space="preserve">          4134 - NON-TAXABLE SALES-SODA</v>
      </c>
      <c r="C29" s="22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>
        <f t="shared" si="5"/>
        <v>0</v>
      </c>
      <c r="L29" s="2">
        <f t="shared" si="5"/>
        <v>0</v>
      </c>
      <c r="M29" s="2">
        <f t="shared" si="5"/>
        <v>0</v>
      </c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3"/>
      <c r="B30" s="10" t="str">
        <f>CONCATENATE("          ","4137", " - ","NON-TAXABLE SALES-WATER")</f>
        <v xml:space="preserve">          4137 - NON-TAXABLE SALES-WATER</v>
      </c>
      <c r="C30" s="22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si="5"/>
        <v>0</v>
      </c>
      <c r="L30" s="2">
        <f t="shared" si="5"/>
        <v>0</v>
      </c>
      <c r="M30" s="2">
        <f t="shared" si="5"/>
        <v>0</v>
      </c>
      <c r="N30" s="2"/>
      <c r="O30" s="2"/>
      <c r="Q30" s="2">
        <f>SUM(OSRRefD11_19x)+IFERROR(SUM(OSRRefE11_19x),0)</f>
        <v>68.25</v>
      </c>
    </row>
    <row r="31" spans="1:17" s="9" customFormat="1" hidden="1" outlineLevel="1" x14ac:dyDescent="0.25">
      <c r="A31" s="23"/>
      <c r="B31" s="10" t="str">
        <f>CONCATENATE("          ","4140", " - ","NON-TAXABLE SALES-LOGO CLOTHIN")</f>
        <v xml:space="preserve">          4140 - NON-TAXABLE SALES-LOGO CLOTHIN</v>
      </c>
      <c r="C31" s="22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--16626.41</f>
        <v>16626.41</v>
      </c>
      <c r="M31" s="2">
        <f>--23040.7</f>
        <v>23040.7</v>
      </c>
      <c r="N31" s="2"/>
      <c r="O31" s="2"/>
      <c r="Q31" s="2">
        <f>SUM(OSRRefD11_20x)+IFERROR(SUM(OSRRefE11_20x),0)</f>
        <v>154792.39000000001</v>
      </c>
    </row>
    <row r="32" spans="1:17" s="9" customFormat="1" hidden="1" outlineLevel="1" x14ac:dyDescent="0.25">
      <c r="A32" s="23"/>
      <c r="B32" s="10" t="str">
        <f>CONCATENATE("          ","4141", " - ","NON-TAXABLE SALES-LOGO GIFTS")</f>
        <v xml:space="preserve">          4141 - NON-TAXABLE SALES-LOGO GIFTS</v>
      </c>
      <c r="C32" s="22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/>
      <c r="O32" s="2"/>
      <c r="Q32" s="2">
        <f>SUM(OSRRefD11_21x)+IFERROR(SUM(OSRRefE11_21x),0)</f>
        <v>35517.57</v>
      </c>
    </row>
    <row r="33" spans="1:17" s="9" customFormat="1" hidden="1" outlineLevel="1" x14ac:dyDescent="0.25">
      <c r="A33" s="23"/>
      <c r="B33" s="10" t="str">
        <f>CONCATENATE("          ","4142", " - ","NON-TAXABLE SALES-EVERYDAY GIF")</f>
        <v xml:space="preserve">          4142 - NON-TAXABLE SALES-EVERYDAY GIF</v>
      </c>
      <c r="C33" s="22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/>
      <c r="O33" s="2"/>
      <c r="Q33" s="2">
        <f>SUM(OSRRefD11_22x)+IFERROR(SUM(OSRRefE11_22x),0)</f>
        <v>1455.4099999999999</v>
      </c>
    </row>
    <row r="34" spans="1:17" s="9" customFormat="1" hidden="1" outlineLevel="1" x14ac:dyDescent="0.25">
      <c r="A34" s="23"/>
      <c r="B34" s="10" t="str">
        <f>CONCATENATE("          ","4143", " - ","NON-TAXABLE SALES-CARDS")</f>
        <v xml:space="preserve">          4143 - NON-TAXABLE SALES-CARDS</v>
      </c>
      <c r="C34" s="22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/>
      <c r="O34" s="2"/>
      <c r="Q34" s="2">
        <f>SUM(OSRRefD11_23x)+IFERROR(SUM(OSRRefE11_23x),0)</f>
        <v>2431.4499999999998</v>
      </c>
    </row>
    <row r="35" spans="1:17" s="9" customFormat="1" hidden="1" outlineLevel="1" x14ac:dyDescent="0.25">
      <c r="A35" s="23"/>
      <c r="B35" s="10" t="str">
        <f>CONCATENATE("          ","4144", " - ","NON-TAXABLE SALES-ACCESSORIES")</f>
        <v xml:space="preserve">          4144 - NON-TAXABLE SALES-ACCESSORIES</v>
      </c>
      <c r="C35" s="22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/>
      <c r="O35" s="2"/>
      <c r="Q35" s="2">
        <f>SUM(OSRRefD11_24x)+IFERROR(SUM(OSRRefE11_24x),0)</f>
        <v>709.1</v>
      </c>
    </row>
    <row r="36" spans="1:17" s="9" customFormat="1" hidden="1" outlineLevel="1" x14ac:dyDescent="0.25">
      <c r="A36" s="23"/>
      <c r="B36" s="10" t="str">
        <f>CONCATENATE("          ","4145", " - ","NON-TAXABLE SALES-SPECIAL ORDE")</f>
        <v xml:space="preserve">          4145 - NON-TAXABLE SALES-SPECIAL ORDE</v>
      </c>
      <c r="C36" s="22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9">0</f>
        <v>0</v>
      </c>
      <c r="L36" s="2">
        <f t="shared" si="9"/>
        <v>0</v>
      </c>
      <c r="M36" s="2">
        <f>--20350.8</f>
        <v>20350.8</v>
      </c>
      <c r="N36" s="2"/>
      <c r="O36" s="2"/>
      <c r="Q36" s="2">
        <f>SUM(OSRRefD11_25x)+IFERROR(SUM(OSRRefE11_25x),0)</f>
        <v>74066.89</v>
      </c>
    </row>
    <row r="37" spans="1:17" s="9" customFormat="1" hidden="1" outlineLevel="1" x14ac:dyDescent="0.25">
      <c r="A37" s="23"/>
      <c r="B37" s="10" t="str">
        <f>CONCATENATE("          ","4226", " - ","SALES RETURN TAXABLE-WRITING I")</f>
        <v xml:space="preserve">          4226 - SALES RETURN TAXABLE-WRITING I</v>
      </c>
      <c r="C37" s="22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>
        <f t="shared" si="9"/>
        <v>0</v>
      </c>
      <c r="L37" s="2">
        <f t="shared" si="9"/>
        <v>0</v>
      </c>
      <c r="M37" s="2">
        <f>0</f>
        <v>0</v>
      </c>
      <c r="N37" s="2"/>
      <c r="O37" s="2"/>
      <c r="Q37" s="2">
        <f>SUM(OSRRefD11_26x)+IFERROR(SUM(OSRRefE11_26x),0)</f>
        <v>-34.229999999999997</v>
      </c>
    </row>
    <row r="38" spans="1:17" s="9" customFormat="1" hidden="1" outlineLevel="1" x14ac:dyDescent="0.25">
      <c r="A38" s="23"/>
      <c r="B38" s="10" t="str">
        <f>CONCATENATE("          ","4227", " - ","SALES RETURN TAXABLE-SCHOOL SU")</f>
        <v xml:space="preserve">          4227 - SALES RETURN TAXABLE-SCHOOL SU</v>
      </c>
      <c r="C38" s="22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>
        <f>-19.05</f>
        <v>-19.05</v>
      </c>
      <c r="L38" s="2">
        <f>-64.39</f>
        <v>-64.39</v>
      </c>
      <c r="M38" s="2">
        <f>-500.54</f>
        <v>-500.54</v>
      </c>
      <c r="N38" s="2"/>
      <c r="O38" s="2"/>
      <c r="Q38" s="2">
        <f>SUM(OSRRefD11_27x)+IFERROR(SUM(OSRRefE11_27x),0)</f>
        <v>-1186.69</v>
      </c>
    </row>
    <row r="39" spans="1:17" s="9" customFormat="1" hidden="1" outlineLevel="1" x14ac:dyDescent="0.25">
      <c r="A39" s="23"/>
      <c r="B39" s="10" t="str">
        <f>CONCATENATE("          ","4228", " - ","SALES RETURN TAXABLE-ART/TECH")</f>
        <v xml:space="preserve">          4228 - SALES RETURN TAXABLE-ART/TECH</v>
      </c>
      <c r="C39" s="22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/>
      <c r="O39" s="2"/>
      <c r="Q39" s="2">
        <f>SUM(OSRRefD11_28x)+IFERROR(SUM(OSRRefE11_28x),0)</f>
        <v>-12751.529999999999</v>
      </c>
    </row>
    <row r="40" spans="1:17" s="9" customFormat="1" hidden="1" outlineLevel="1" x14ac:dyDescent="0.25">
      <c r="A40" s="23"/>
      <c r="B40" s="10" t="str">
        <f>CONCATENATE("          ","4240", " - ","SALES RETURN TAXABLE-LOGO CLOT")</f>
        <v xml:space="preserve">          4240 - SALES RETURN TAXABLE-LOGO CLOT</v>
      </c>
      <c r="C40" s="22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>
        <f>-3542.64</f>
        <v>-3542.64</v>
      </c>
      <c r="L40" s="2">
        <f>-3924.84</f>
        <v>-3924.84</v>
      </c>
      <c r="M40" s="2">
        <f>-5611.92</f>
        <v>-5611.92</v>
      </c>
      <c r="N40" s="2"/>
      <c r="O40" s="2"/>
      <c r="Q40" s="2">
        <f>SUM(OSRRefD11_29x)+IFERROR(SUM(OSRRefE11_29x),0)</f>
        <v>-40666.26999999999</v>
      </c>
    </row>
    <row r="41" spans="1:17" s="9" customFormat="1" hidden="1" outlineLevel="1" x14ac:dyDescent="0.25">
      <c r="A41" s="23"/>
      <c r="B41" s="10" t="str">
        <f>CONCATENATE("          ","4241", " - ","SALES RETURN TAXABLE-LOGO GIFT")</f>
        <v xml:space="preserve">          4241 - SALES RETURN TAXABLE-LOGO GIFT</v>
      </c>
      <c r="C41" s="22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>
        <f>-338.05</f>
        <v>-338.05</v>
      </c>
      <c r="L41" s="2">
        <f>-1214.87</f>
        <v>-1214.8699999999999</v>
      </c>
      <c r="M41" s="2">
        <f>-5633.91</f>
        <v>-5633.91</v>
      </c>
      <c r="N41" s="2"/>
      <c r="O41" s="2"/>
      <c r="Q41" s="2">
        <f>SUM(OSRRefD11_30x)+IFERROR(SUM(OSRRefE11_30x),0)</f>
        <v>-10890.2</v>
      </c>
    </row>
    <row r="42" spans="1:17" s="9" customFormat="1" hidden="1" outlineLevel="1" x14ac:dyDescent="0.25">
      <c r="A42" s="23"/>
      <c r="B42" s="10" t="str">
        <f>CONCATENATE("          ","4242", " - ","SALES RETURN TAXABLE-EVERYDAY")</f>
        <v xml:space="preserve">          4242 - SALES RETURN TAXABLE-EVERYDAY</v>
      </c>
      <c r="C42" s="22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>
        <f>-44.96</f>
        <v>-44.96</v>
      </c>
      <c r="L42" s="2">
        <f>-565.08</f>
        <v>-565.08000000000004</v>
      </c>
      <c r="M42" s="2">
        <f>-332.27</f>
        <v>-332.27</v>
      </c>
      <c r="N42" s="2"/>
      <c r="O42" s="2"/>
      <c r="Q42" s="2">
        <f>SUM(OSRRefD11_31x)+IFERROR(SUM(OSRRefE11_31x),0)</f>
        <v>-2636.09</v>
      </c>
    </row>
    <row r="43" spans="1:17" s="9" customFormat="1" hidden="1" outlineLevel="1" x14ac:dyDescent="0.25">
      <c r="A43" s="23"/>
      <c r="B43" s="10" t="str">
        <f>CONCATENATE("          ","4243", " - ","SALES RETURN TAXABLE-CARDS")</f>
        <v xml:space="preserve">          4243 - SALES RETURN TAXABLE-CARDS</v>
      </c>
      <c r="C43" s="22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/>
      <c r="O43" s="2"/>
      <c r="Q43" s="2">
        <f>SUM(OSRRefD11_32x)+IFERROR(SUM(OSRRefE11_32x),0)</f>
        <v>-6142.09</v>
      </c>
    </row>
    <row r="44" spans="1:17" s="9" customFormat="1" hidden="1" outlineLevel="1" x14ac:dyDescent="0.25">
      <c r="A44" s="23"/>
      <c r="B44" s="10" t="str">
        <f>CONCATENATE("          ","4244", " - ","SALES RETURN TAXABLE-ACCESSORI")</f>
        <v xml:space="preserve">          4244 - SALES RETURN TAXABLE-ACCESSORI</v>
      </c>
      <c r="C44" s="22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>
        <f>-9.99</f>
        <v>-9.99</v>
      </c>
      <c r="L44" s="2">
        <f>-240.42</f>
        <v>-240.42</v>
      </c>
      <c r="M44" s="2">
        <f>-8.24</f>
        <v>-8.24</v>
      </c>
      <c r="N44" s="2"/>
      <c r="O44" s="2"/>
      <c r="Q44" s="2">
        <f>SUM(OSRRefD11_33x)+IFERROR(SUM(OSRRefE11_33x),0)</f>
        <v>-1243.5000000000002</v>
      </c>
    </row>
    <row r="45" spans="1:17" s="9" customFormat="1" hidden="1" outlineLevel="1" x14ac:dyDescent="0.25">
      <c r="A45" s="23"/>
      <c r="B45" s="10" t="str">
        <f>CONCATENATE("          ","4245", " - ","SALES RETURN TAXABLE-SPECIAL O")</f>
        <v xml:space="preserve">          4245 - SALES RETURN TAXABLE-SPECIAL O</v>
      </c>
      <c r="C45" s="22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>
        <f>0</f>
        <v>0</v>
      </c>
      <c r="M45" s="2">
        <f>-4071.14</f>
        <v>-4071.14</v>
      </c>
      <c r="N45" s="2"/>
      <c r="O45" s="2"/>
      <c r="Q45" s="2">
        <f>SUM(OSRRefD11_34x)+IFERROR(SUM(OSRRefE11_34x),0)</f>
        <v>-15424.73</v>
      </c>
    </row>
    <row r="46" spans="1:17" s="9" customFormat="1" hidden="1" outlineLevel="1" x14ac:dyDescent="0.25">
      <c r="A46" s="23"/>
      <c r="B46" s="10" t="str">
        <f>CONCATENATE("          ","4340", " - ","SALES RETURN NON TAXABLE-LOGO")</f>
        <v xml:space="preserve">          4340 - SALES RETURN NON TAXABLE-LOGO</v>
      </c>
      <c r="C46" s="22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>
        <f>-350.55</f>
        <v>-350.55</v>
      </c>
      <c r="M46" s="2">
        <f>-664.13</f>
        <v>-664.13</v>
      </c>
      <c r="N46" s="2"/>
      <c r="O46" s="2"/>
      <c r="Q46" s="2">
        <f>SUM(OSRRefD11_35x)+IFERROR(SUM(OSRRefE11_35x),0)</f>
        <v>-3307.5200000000004</v>
      </c>
    </row>
    <row r="47" spans="1:17" s="9" customFormat="1" hidden="1" outlineLevel="1" x14ac:dyDescent="0.25">
      <c r="A47" s="23"/>
      <c r="B47" s="10" t="str">
        <f>CONCATENATE("          ","4341", " - ","SALES RETURN NON TAXABLE-LOGO")</f>
        <v xml:space="preserve">          4341 - SALES RETURN NON TAXABLE-LOGO</v>
      </c>
      <c r="C47" s="22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3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4">0</f>
        <v>0</v>
      </c>
      <c r="L47" s="2">
        <f>-29.9</f>
        <v>-29.9</v>
      </c>
      <c r="M47" s="2">
        <f>-9.9</f>
        <v>-9.9</v>
      </c>
      <c r="N47" s="2"/>
      <c r="O47" s="2"/>
      <c r="Q47" s="2">
        <f>SUM(OSRRefD11_36x)+IFERROR(SUM(OSRRefE11_36x),0)</f>
        <v>-391.23999999999995</v>
      </c>
    </row>
    <row r="48" spans="1:17" s="9" customFormat="1" hidden="1" outlineLevel="1" x14ac:dyDescent="0.25">
      <c r="A48" s="23"/>
      <c r="B48" s="10" t="str">
        <f>CONCATENATE("          ","4342", " - ","SALES RETURN NON TAXABLE-EVERY")</f>
        <v xml:space="preserve">          4342 - SALES RETURN NON TAXABLE-EVERY</v>
      </c>
      <c r="C48" s="22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3"/>
        <v>0</v>
      </c>
      <c r="H48" s="2">
        <f t="shared" ref="H48:J48" si="15">0</f>
        <v>0</v>
      </c>
      <c r="I48" s="2">
        <f t="shared" si="15"/>
        <v>0</v>
      </c>
      <c r="J48" s="2">
        <f t="shared" si="15"/>
        <v>0</v>
      </c>
      <c r="K48" s="2">
        <f t="shared" si="14"/>
        <v>0</v>
      </c>
      <c r="L48" s="2">
        <f t="shared" ref="L48:M48" si="16">0</f>
        <v>0</v>
      </c>
      <c r="M48" s="2">
        <f t="shared" si="16"/>
        <v>0</v>
      </c>
      <c r="N48" s="2"/>
      <c r="O48" s="2"/>
      <c r="Q48" s="2">
        <f>SUM(OSRRefD11_37x)+IFERROR(SUM(OSRRefE11_37x),0)</f>
        <v>-118.7</v>
      </c>
    </row>
    <row r="49" spans="1:17" x14ac:dyDescent="0.2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25">
      <c r="A50" s="23"/>
      <c r="B50" s="16" t="s">
        <v>217</v>
      </c>
      <c r="C50" s="22"/>
      <c r="D50" s="3">
        <f>SUM(OSRRefD14x_0)</f>
        <v>110539.94</v>
      </c>
      <c r="E50" s="3">
        <f>SUM(OSRRefD14x_1)</f>
        <v>180056</v>
      </c>
      <c r="F50" s="3">
        <f>SUM(OSRRefD14x_2)</f>
        <v>68684.60000000002</v>
      </c>
      <c r="G50" s="3">
        <f>SUM(OSRRefD14x_3)</f>
        <v>60248.999999999993</v>
      </c>
      <c r="H50" s="3">
        <f>SUM(OSRRefD14x_4)</f>
        <v>54804</v>
      </c>
      <c r="I50" s="3">
        <f>SUM(OSRRefD14x_5)</f>
        <v>123873.99999999999</v>
      </c>
      <c r="J50" s="3">
        <f>SUM(OSRRefD14x_6)</f>
        <v>84702.999999999985</v>
      </c>
      <c r="K50" s="3">
        <f>SUM(OSRRefD14x_7)</f>
        <v>62365.999999999993</v>
      </c>
      <c r="L50" s="3">
        <f>SUM(OSRRefD14x_8)</f>
        <v>88675</v>
      </c>
      <c r="M50" s="3">
        <f>SUM(OSRRefD14x_9)</f>
        <v>191894</v>
      </c>
      <c r="N50" s="3">
        <f>SUM(OSRRefE14x_0)</f>
        <v>99667</v>
      </c>
      <c r="O50" s="3">
        <f>SUM(OSRRefE14x_1)</f>
        <v>81198</v>
      </c>
      <c r="Q50" s="3">
        <f>SUM(OSRRefG14x)</f>
        <v>1206710.54</v>
      </c>
    </row>
    <row r="51" spans="1:17" s="9" customFormat="1" hidden="1" outlineLevel="1" x14ac:dyDescent="0.25">
      <c r="A51" s="23"/>
      <c r="B51" s="10" t="str">
        <f>CONCATENATE("          ","5000", " - ","PURCHASES @ COST")</f>
        <v xml:space="preserve">          5000 - PURCHASES @ COST</v>
      </c>
      <c r="C51" s="22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99667</v>
      </c>
      <c r="O51" s="2">
        <v>81198</v>
      </c>
      <c r="Q51" s="2">
        <f>SUM(OSRRefD14_0x)+IFERROR(SUM(OSRRefE14_0x),0)</f>
        <v>180865</v>
      </c>
    </row>
    <row r="52" spans="1:17" s="9" customFormat="1" hidden="1" outlineLevel="1" x14ac:dyDescent="0.25">
      <c r="A52" s="23"/>
      <c r="B52" s="10" t="str">
        <f>CONCATENATE("          ","5025", " - ","PURCHASES @ COST-TEST FORMS")</f>
        <v xml:space="preserve">          5025 - PURCHASES @ COST-TEST FORMS</v>
      </c>
      <c r="C52" s="22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25">
      <c r="A53" s="23"/>
      <c r="B53" s="10" t="str">
        <f>CONCATENATE("          ","5026", " - ","PURCHASES @ COST-WRITING INSTR")</f>
        <v xml:space="preserve">          5026 - PURCHASES @ COST-WRITING INSTR</v>
      </c>
      <c r="C53" s="22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/>
      <c r="O53" s="2"/>
      <c r="Q53" s="2">
        <f>SUM(OSRRefD14_2x)+IFERROR(SUM(OSRRefE14_2x),0)</f>
        <v>219.64</v>
      </c>
    </row>
    <row r="54" spans="1:17" s="9" customFormat="1" hidden="1" outlineLevel="1" x14ac:dyDescent="0.25">
      <c r="A54" s="23"/>
      <c r="B54" s="10" t="str">
        <f>CONCATENATE("          ","5027", " - ","PURCHASES @ COST-SCHOOL SUPPLI")</f>
        <v xml:space="preserve">          5027 - PURCHASES @ COST-SCHOOL SUPPLI</v>
      </c>
      <c r="C54" s="22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>
        <v>1838.72</v>
      </c>
      <c r="N54" s="2"/>
      <c r="O54" s="2"/>
      <c r="Q54" s="2">
        <f>SUM(OSRRefD14_3x)+IFERROR(SUM(OSRRefE14_3x),0)</f>
        <v>22839.129999999997</v>
      </c>
    </row>
    <row r="55" spans="1:17" s="9" customFormat="1" hidden="1" outlineLevel="1" x14ac:dyDescent="0.25">
      <c r="A55" s="23"/>
      <c r="B55" s="10" t="str">
        <f>CONCATENATE("          ","5028", " - ","PURCHASES @ COST-ART/TECH")</f>
        <v xml:space="preserve">          5028 - PURCHASES @ COST-ART/TECH</v>
      </c>
      <c r="C55" s="22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>
        <v>1371.26</v>
      </c>
      <c r="N55" s="2"/>
      <c r="O55" s="2"/>
      <c r="Q55" s="2">
        <f>SUM(OSRRefD14_4x)+IFERROR(SUM(OSRRefE14_4x),0)</f>
        <v>5564.77</v>
      </c>
    </row>
    <row r="56" spans="1:17" s="9" customFormat="1" hidden="1" outlineLevel="1" x14ac:dyDescent="0.25">
      <c r="A56" s="23"/>
      <c r="B56" s="10" t="str">
        <f>CONCATENATE("          ","5031", " - ","PURCHASES @ COST-FOOD")</f>
        <v xml:space="preserve">          5031 - PURCHASES @ COST-FOOD</v>
      </c>
      <c r="C56" s="22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25">
      <c r="A57" s="23"/>
      <c r="B57" s="10" t="str">
        <f>CONCATENATE("          ","5040", " - ","PURCHASES @ COST-LOGO CLOTHING")</f>
        <v xml:space="preserve">          5040 - PURCHASES @ COST-LOGO CLOTHING</v>
      </c>
      <c r="C57" s="22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>
        <v>45900.51</v>
      </c>
      <c r="M57" s="2">
        <v>39218.65</v>
      </c>
      <c r="N57" s="2"/>
      <c r="O57" s="2"/>
      <c r="Q57" s="2">
        <f>SUM(OSRRefD14_6x)+IFERROR(SUM(OSRRefE14_6x),0)</f>
        <v>279090.25</v>
      </c>
    </row>
    <row r="58" spans="1:17" s="9" customFormat="1" hidden="1" outlineLevel="1" x14ac:dyDescent="0.25">
      <c r="A58" s="23"/>
      <c r="B58" s="10" t="str">
        <f>CONCATENATE("          ","5041", " - ","PURCHASES @ COST-LOGO GIFTS")</f>
        <v xml:space="preserve">          5041 - PURCHASES @ COST-LOGO GIFTS</v>
      </c>
      <c r="C58" s="22"/>
      <c r="D58" s="2">
        <v>-713.75</v>
      </c>
      <c r="E58" s="2">
        <v>1843.29</v>
      </c>
      <c r="F58" s="2">
        <v>868</v>
      </c>
      <c r="G58" s="2">
        <v>15289.8</v>
      </c>
      <c r="H58" s="2">
        <v>9354.43</v>
      </c>
      <c r="I58" s="2">
        <v>5559.99</v>
      </c>
      <c r="J58" s="2">
        <v>8769.24</v>
      </c>
      <c r="K58" s="2">
        <v>26592.81</v>
      </c>
      <c r="L58" s="2">
        <v>899.63</v>
      </c>
      <c r="M58" s="2">
        <v>15798.51</v>
      </c>
      <c r="N58" s="2"/>
      <c r="O58" s="2"/>
      <c r="Q58" s="2">
        <f>SUM(OSRRefD14_7x)+IFERROR(SUM(OSRRefE14_7x),0)</f>
        <v>84261.95</v>
      </c>
    </row>
    <row r="59" spans="1:17" s="9" customFormat="1" hidden="1" outlineLevel="1" x14ac:dyDescent="0.25">
      <c r="A59" s="23"/>
      <c r="B59" s="10" t="str">
        <f>CONCATENATE("          ","5042", " - ","PURCHASES @ COST-EVERYDAY GIFT")</f>
        <v xml:space="preserve">          5042 - PURCHASES @ COST-EVERYDAY GIFT</v>
      </c>
      <c r="C59" s="22"/>
      <c r="D59" s="2">
        <v>236.16</v>
      </c>
      <c r="E59" s="2">
        <v>732.99</v>
      </c>
      <c r="F59" s="2">
        <v>522</v>
      </c>
      <c r="G59" s="2">
        <v>9421.5300000000007</v>
      </c>
      <c r="H59" s="2"/>
      <c r="I59" s="2">
        <v>148.6</v>
      </c>
      <c r="J59" s="2">
        <v>6760.7</v>
      </c>
      <c r="K59" s="2">
        <v>1196.2</v>
      </c>
      <c r="L59" s="2">
        <v>-270</v>
      </c>
      <c r="M59" s="2"/>
      <c r="N59" s="2"/>
      <c r="O59" s="2"/>
      <c r="Q59" s="2">
        <f>SUM(OSRRefD14_8x)+IFERROR(SUM(OSRRefE14_8x),0)</f>
        <v>18748.18</v>
      </c>
    </row>
    <row r="60" spans="1:17" s="9" customFormat="1" hidden="1" outlineLevel="1" x14ac:dyDescent="0.25">
      <c r="A60" s="23"/>
      <c r="B60" s="10" t="str">
        <f>CONCATENATE("          ","5043", " - ","PURCHASES @ COST-CARDS")</f>
        <v xml:space="preserve">          5043 - PURCHASES @ COST-CARDS</v>
      </c>
      <c r="C60" s="22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>
        <v>41</v>
      </c>
      <c r="N60" s="2"/>
      <c r="O60" s="2"/>
      <c r="Q60" s="2">
        <f>SUM(OSRRefD14_9x)+IFERROR(SUM(OSRRefE14_9x),0)</f>
        <v>55405.33</v>
      </c>
    </row>
    <row r="61" spans="1:17" s="9" customFormat="1" hidden="1" outlineLevel="1" x14ac:dyDescent="0.25">
      <c r="A61" s="23"/>
      <c r="B61" s="10" t="str">
        <f>CONCATENATE("          ","5044", " - ","PURCHASES @ COST-ACCESSORIES")</f>
        <v xml:space="preserve">          5044 - PURCHASES @ COST-ACCESSORIES</v>
      </c>
      <c r="C61" s="22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>
        <v>1490.88</v>
      </c>
      <c r="N61" s="2"/>
      <c r="O61" s="2"/>
      <c r="Q61" s="2">
        <f>SUM(OSRRefD14_10x)+IFERROR(SUM(OSRRefE14_10x),0)</f>
        <v>2555.71</v>
      </c>
    </row>
    <row r="62" spans="1:17" s="9" customFormat="1" hidden="1" outlineLevel="1" x14ac:dyDescent="0.25">
      <c r="A62" s="23"/>
      <c r="B62" s="10" t="str">
        <f>CONCATENATE("          ","5045", " - ","PURCHASES @ COST-SPECIAL ORDER")</f>
        <v xml:space="preserve">          5045 - PURCHASES @ COST-SPECIAL ORDER</v>
      </c>
      <c r="C62" s="22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>
        <v>13853.18</v>
      </c>
      <c r="M62" s="2">
        <v>5771.38</v>
      </c>
      <c r="N62" s="2"/>
      <c r="O62" s="2"/>
      <c r="Q62" s="2">
        <f>SUM(OSRRefD14_11x)+IFERROR(SUM(OSRRefE14_11x),0)</f>
        <v>114998.07</v>
      </c>
    </row>
    <row r="63" spans="1:17" s="9" customFormat="1" hidden="1" outlineLevel="1" x14ac:dyDescent="0.25">
      <c r="A63" s="23"/>
      <c r="B63" s="10" t="str">
        <f>CONCATENATE("          ","5086", " - ","PURCHASES @ COST-COMPUTER SUPP")</f>
        <v xml:space="preserve">          5086 - PURCHASES @ COST-COMPUTER SUPP</v>
      </c>
      <c r="C63" s="22"/>
      <c r="D63" s="2"/>
      <c r="E63" s="2"/>
      <c r="F63" s="2"/>
      <c r="G63" s="2"/>
      <c r="H63" s="2"/>
      <c r="I63" s="2"/>
      <c r="J63" s="2"/>
      <c r="K63" s="2">
        <v>13.21</v>
      </c>
      <c r="L63" s="2"/>
      <c r="M63" s="2"/>
      <c r="N63" s="2"/>
      <c r="O63" s="2"/>
      <c r="Q63" s="2">
        <f>SUM(OSRRefD14_12x)+IFERROR(SUM(OSRRefE14_12x),0)</f>
        <v>13.21</v>
      </c>
    </row>
    <row r="64" spans="1:17" s="9" customFormat="1" hidden="1" outlineLevel="1" x14ac:dyDescent="0.25">
      <c r="A64" s="23"/>
      <c r="B64" s="10" t="str">
        <f>CONCATENATE("          ","5200", " - ","PURCHASES OFFSET")</f>
        <v xml:space="preserve">          5200 - PURCHASES OFFSET</v>
      </c>
      <c r="C64" s="22"/>
      <c r="D64" s="2">
        <v>-13113.6</v>
      </c>
      <c r="E64" s="2">
        <v>-18536.04</v>
      </c>
      <c r="F64" s="2">
        <v>-61907.24</v>
      </c>
      <c r="G64" s="2">
        <v>-79762.5</v>
      </c>
      <c r="H64" s="2">
        <v>-116985.24</v>
      </c>
      <c r="I64" s="2">
        <v>-58180.68</v>
      </c>
      <c r="J64" s="2">
        <v>-68791.67</v>
      </c>
      <c r="K64" s="2">
        <v>-58076.24</v>
      </c>
      <c r="L64" s="2">
        <v>-68518.25</v>
      </c>
      <c r="M64" s="2">
        <v>-70754.37</v>
      </c>
      <c r="N64" s="2"/>
      <c r="O64" s="2"/>
      <c r="Q64" s="2">
        <f>SUM(OSRRefD14_13x)+IFERROR(SUM(OSRRefE14_13x),0)</f>
        <v>-614625.82999999996</v>
      </c>
    </row>
    <row r="65" spans="1:17" s="9" customFormat="1" hidden="1" outlineLevel="1" x14ac:dyDescent="0.25">
      <c r="A65" s="23"/>
      <c r="B65" s="10" t="str">
        <f>CONCATENATE("          ","5300", " - ","COG$ OFFSET")</f>
        <v xml:space="preserve">          5300 - COG$ OFFSET</v>
      </c>
      <c r="C65" s="22"/>
      <c r="D65" s="2">
        <v>109540</v>
      </c>
      <c r="E65" s="2">
        <v>180056</v>
      </c>
      <c r="F65" s="2">
        <v>68768</v>
      </c>
      <c r="G65" s="2">
        <v>60249</v>
      </c>
      <c r="H65" s="2">
        <v>54804</v>
      </c>
      <c r="I65" s="2">
        <v>123874</v>
      </c>
      <c r="J65" s="2">
        <v>84703</v>
      </c>
      <c r="K65" s="2">
        <v>62366</v>
      </c>
      <c r="L65" s="2">
        <v>88675</v>
      </c>
      <c r="M65" s="2">
        <v>191894</v>
      </c>
      <c r="N65" s="2"/>
      <c r="O65" s="2"/>
      <c r="Q65" s="2">
        <f>SUM(OSRRefD14_14x)+IFERROR(SUM(OSRRefE14_14x),0)</f>
        <v>1024929</v>
      </c>
    </row>
    <row r="66" spans="1:17" s="9" customFormat="1" hidden="1" outlineLevel="1" x14ac:dyDescent="0.25">
      <c r="A66" s="23"/>
      <c r="B66" s="10" t="str">
        <f>CONCATENATE("          ","5525", " - ","FREIGHT-IN-TEST FORMS")</f>
        <v xml:space="preserve">          5525 - FREIGHT-IN-TEST FORMS</v>
      </c>
      <c r="C66" s="22"/>
      <c r="D66" s="2"/>
      <c r="E66" s="2"/>
      <c r="F66" s="2"/>
      <c r="G66" s="2">
        <v>48.14</v>
      </c>
      <c r="H66" s="2"/>
      <c r="I66" s="2"/>
      <c r="J66" s="2"/>
      <c r="K66" s="2"/>
      <c r="L66" s="2"/>
      <c r="M66" s="2"/>
      <c r="N66" s="2"/>
      <c r="O66" s="2"/>
      <c r="Q66" s="2">
        <f>SUM(OSRRefD14_15x)+IFERROR(SUM(OSRRefE14_15x),0)</f>
        <v>48.14</v>
      </c>
    </row>
    <row r="67" spans="1:17" s="9" customFormat="1" hidden="1" outlineLevel="1" x14ac:dyDescent="0.25">
      <c r="A67" s="23"/>
      <c r="B67" s="10" t="str">
        <f>CONCATENATE("          ","5526", " - ","FREIGHT-IN-WRITING INSTRUMENTS")</f>
        <v xml:space="preserve">          5526 - FREIGHT-IN-WRITING INSTRUMENTS</v>
      </c>
      <c r="C67" s="22"/>
      <c r="D67" s="2"/>
      <c r="E67" s="2"/>
      <c r="F67" s="2"/>
      <c r="G67" s="2"/>
      <c r="H67" s="2"/>
      <c r="I67" s="2">
        <v>0</v>
      </c>
      <c r="J67" s="2"/>
      <c r="K67" s="2"/>
      <c r="L67" s="2"/>
      <c r="M67" s="2"/>
      <c r="N67" s="2"/>
      <c r="O67" s="2"/>
      <c r="Q67" s="2">
        <f>SUM(OSRRefD14_16x)+IFERROR(SUM(OSRRefE14_16x),0)</f>
        <v>0</v>
      </c>
    </row>
    <row r="68" spans="1:17" s="9" customFormat="1" hidden="1" outlineLevel="1" x14ac:dyDescent="0.25">
      <c r="A68" s="23"/>
      <c r="B68" s="10" t="str">
        <f>CONCATENATE("          ","5527", " - ","FREIGHT-IN-SCHOOL SUPPLIES")</f>
        <v xml:space="preserve">          5527 - FREIGHT-IN-SCHOOL SUPPLIES</v>
      </c>
      <c r="C68" s="22"/>
      <c r="D68" s="2"/>
      <c r="E68" s="2"/>
      <c r="F68" s="2"/>
      <c r="G68" s="2">
        <v>56</v>
      </c>
      <c r="H68" s="2"/>
      <c r="I68" s="2">
        <v>121.5</v>
      </c>
      <c r="J68" s="2"/>
      <c r="K68" s="2"/>
      <c r="L68" s="2">
        <v>41.12</v>
      </c>
      <c r="M68" s="2"/>
      <c r="N68" s="2"/>
      <c r="O68" s="2"/>
      <c r="Q68" s="2">
        <f>SUM(OSRRefD14_17x)+IFERROR(SUM(OSRRefE14_17x),0)</f>
        <v>218.62</v>
      </c>
    </row>
    <row r="69" spans="1:17" s="9" customFormat="1" hidden="1" outlineLevel="1" x14ac:dyDescent="0.25">
      <c r="A69" s="23"/>
      <c r="B69" s="10" t="str">
        <f>CONCATENATE("          ","5528", " - ","FREIGHT-IN-ART/TECH")</f>
        <v xml:space="preserve">          5528 - FREIGHT-IN-ART/TECH</v>
      </c>
      <c r="C69" s="22"/>
      <c r="D69" s="2"/>
      <c r="E69" s="2"/>
      <c r="F69" s="2"/>
      <c r="G69" s="2">
        <v>3.94</v>
      </c>
      <c r="H69" s="2"/>
      <c r="I69" s="2"/>
      <c r="J69" s="2">
        <v>30.01</v>
      </c>
      <c r="K69" s="2"/>
      <c r="L69" s="2">
        <v>73.23</v>
      </c>
      <c r="M69" s="2">
        <v>69.73</v>
      </c>
      <c r="N69" s="2"/>
      <c r="O69" s="2"/>
      <c r="Q69" s="2">
        <f>SUM(OSRRefD14_18x)+IFERROR(SUM(OSRRefE14_18x),0)</f>
        <v>176.91000000000003</v>
      </c>
    </row>
    <row r="70" spans="1:17" s="9" customFormat="1" hidden="1" outlineLevel="1" x14ac:dyDescent="0.25">
      <c r="A70" s="23"/>
      <c r="B70" s="10" t="str">
        <f>CONCATENATE("          ","5540", " - ","FREIGHT-IN-LOGO CLOTHING")</f>
        <v xml:space="preserve">          5540 - FREIGHT-IN-LOGO CLOTHING</v>
      </c>
      <c r="C70" s="22"/>
      <c r="D70" s="2">
        <v>909.83</v>
      </c>
      <c r="E70" s="2">
        <v>1021.7</v>
      </c>
      <c r="F70" s="2">
        <v>234.23</v>
      </c>
      <c r="G70" s="2">
        <v>1036.57</v>
      </c>
      <c r="H70" s="2">
        <v>1333.15</v>
      </c>
      <c r="I70" s="2">
        <v>907.48</v>
      </c>
      <c r="J70" s="2">
        <v>347.67</v>
      </c>
      <c r="K70" s="2">
        <v>150.6</v>
      </c>
      <c r="L70" s="2">
        <v>1167.1400000000001</v>
      </c>
      <c r="M70" s="2">
        <v>2107.65</v>
      </c>
      <c r="N70" s="2"/>
      <c r="O70" s="2"/>
      <c r="Q70" s="2">
        <f>SUM(OSRRefD14_19x)+IFERROR(SUM(OSRRefE14_19x),0)</f>
        <v>9216.02</v>
      </c>
    </row>
    <row r="71" spans="1:17" s="9" customFormat="1" hidden="1" outlineLevel="1" x14ac:dyDescent="0.25">
      <c r="A71" s="23"/>
      <c r="B71" s="10" t="str">
        <f>CONCATENATE("          ","5541", " - ","FREIGHT-IN-LOGO GIFTS")</f>
        <v xml:space="preserve">          5541 - FREIGHT-IN-LOGO GIFTS</v>
      </c>
      <c r="C71" s="22"/>
      <c r="D71" s="2">
        <v>83.58</v>
      </c>
      <c r="E71" s="2">
        <v>123.12</v>
      </c>
      <c r="F71" s="2">
        <v>154.41</v>
      </c>
      <c r="G71" s="2">
        <v>773.7</v>
      </c>
      <c r="H71" s="2">
        <v>301.06</v>
      </c>
      <c r="I71" s="2">
        <v>84.07</v>
      </c>
      <c r="J71" s="2">
        <v>182.93</v>
      </c>
      <c r="K71" s="2">
        <v>375.06</v>
      </c>
      <c r="L71" s="2">
        <v>60.07</v>
      </c>
      <c r="M71" s="2">
        <v>2877.99</v>
      </c>
      <c r="N71" s="2"/>
      <c r="O71" s="2"/>
      <c r="Q71" s="2">
        <f>SUM(OSRRefD14_20x)+IFERROR(SUM(OSRRefE14_20x),0)</f>
        <v>5015.99</v>
      </c>
    </row>
    <row r="72" spans="1:17" s="9" customFormat="1" hidden="1" outlineLevel="1" x14ac:dyDescent="0.25">
      <c r="A72" s="23"/>
      <c r="B72" s="10" t="str">
        <f>CONCATENATE("          ","5542", " - ","FREIGHT-IN-EVERYDAY GIFTS")</f>
        <v xml:space="preserve">          5542 - FREIGHT-IN-EVERYDAY GIFTS</v>
      </c>
      <c r="C72" s="22"/>
      <c r="D72" s="2">
        <v>5.94</v>
      </c>
      <c r="E72" s="2"/>
      <c r="F72" s="2">
        <v>65.44</v>
      </c>
      <c r="G72" s="2">
        <v>104.17</v>
      </c>
      <c r="H72" s="2">
        <v>21</v>
      </c>
      <c r="I72" s="2"/>
      <c r="J72" s="2">
        <v>187.38</v>
      </c>
      <c r="K72" s="2"/>
      <c r="L72" s="2">
        <v>297.79000000000002</v>
      </c>
      <c r="M72" s="2"/>
      <c r="N72" s="2"/>
      <c r="O72" s="2"/>
      <c r="Q72" s="2">
        <f>SUM(OSRRefD14_21x)+IFERROR(SUM(OSRRefE14_21x),0)</f>
        <v>681.72</v>
      </c>
    </row>
    <row r="73" spans="1:17" s="9" customFormat="1" hidden="1" outlineLevel="1" x14ac:dyDescent="0.25">
      <c r="A73" s="23"/>
      <c r="B73" s="10" t="str">
        <f>CONCATENATE("          ","5543", " - ","FREIGHT-IN-CARDS")</f>
        <v xml:space="preserve">          5543 - FREIGHT-IN-CARDS</v>
      </c>
      <c r="C73" s="22"/>
      <c r="D73" s="2"/>
      <c r="E73" s="2"/>
      <c r="F73" s="2">
        <v>81.77</v>
      </c>
      <c r="G73" s="2">
        <v>107.42</v>
      </c>
      <c r="H73" s="2">
        <v>6323.12</v>
      </c>
      <c r="I73" s="2">
        <v>605.41</v>
      </c>
      <c r="J73" s="2">
        <v>1992.81</v>
      </c>
      <c r="K73" s="2"/>
      <c r="L73" s="2"/>
      <c r="M73" s="2"/>
      <c r="N73" s="2"/>
      <c r="O73" s="2"/>
      <c r="Q73" s="2">
        <f>SUM(OSRRefD14_22x)+IFERROR(SUM(OSRRefE14_22x),0)</f>
        <v>9110.5299999999988</v>
      </c>
    </row>
    <row r="74" spans="1:17" s="9" customFormat="1" hidden="1" outlineLevel="1" x14ac:dyDescent="0.25">
      <c r="A74" s="23"/>
      <c r="B74" s="10" t="str">
        <f>CONCATENATE("          ","5545", " - ","FREIGHT-IN-SPECIAL ORDERS")</f>
        <v xml:space="preserve">          5545 - FREIGHT-IN-SPECIAL ORDERS</v>
      </c>
      <c r="C74" s="22"/>
      <c r="D74" s="2">
        <v>300.39999999999998</v>
      </c>
      <c r="E74" s="2">
        <v>145.6</v>
      </c>
      <c r="F74" s="2">
        <v>214.61</v>
      </c>
      <c r="G74" s="2">
        <v>189.66</v>
      </c>
      <c r="H74" s="2">
        <v>37.590000000000003</v>
      </c>
      <c r="I74" s="2">
        <v>225.93</v>
      </c>
      <c r="J74" s="2"/>
      <c r="K74" s="2">
        <v>134.74</v>
      </c>
      <c r="L74" s="2">
        <v>17.63</v>
      </c>
      <c r="M74" s="2">
        <v>168.6</v>
      </c>
      <c r="N74" s="2"/>
      <c r="O74" s="2"/>
      <c r="Q74" s="2">
        <f>SUM(OSRRefD14_23x)+IFERROR(SUM(OSRRefE14_23x),0)</f>
        <v>1434.76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25">
      <c r="A76" s="6"/>
      <c r="B76" s="17" t="s">
        <v>105</v>
      </c>
      <c r="C76" s="17"/>
      <c r="D76" s="8">
        <f t="shared" ref="D76:O76" si="17">IFERROR(+D10-D50, 0)</f>
        <v>64240.879999999976</v>
      </c>
      <c r="E76" s="8">
        <f t="shared" si="17"/>
        <v>131002.33999999991</v>
      </c>
      <c r="F76" s="8">
        <f t="shared" si="17"/>
        <v>45083.559999999969</v>
      </c>
      <c r="G76" s="8">
        <f t="shared" si="17"/>
        <v>55160.980000000032</v>
      </c>
      <c r="H76" s="8">
        <f t="shared" si="17"/>
        <v>46046.61000000003</v>
      </c>
      <c r="I76" s="8">
        <f t="shared" si="17"/>
        <v>90778.63999999997</v>
      </c>
      <c r="J76" s="8">
        <f t="shared" si="17"/>
        <v>75589.380000000077</v>
      </c>
      <c r="K76" s="8">
        <f t="shared" si="17"/>
        <v>57949.21</v>
      </c>
      <c r="L76" s="8">
        <f t="shared" si="17"/>
        <v>78077.73000000001</v>
      </c>
      <c r="M76" s="8">
        <f t="shared" si="17"/>
        <v>217218.63</v>
      </c>
      <c r="N76" s="8">
        <f t="shared" si="17"/>
        <v>115417</v>
      </c>
      <c r="O76" s="8">
        <f t="shared" si="17"/>
        <v>94703</v>
      </c>
      <c r="Q76" s="8">
        <f>IFERROR(+Q10-Q50, 0)</f>
        <v>1071267.9600000004</v>
      </c>
    </row>
    <row r="77" spans="1:17" s="6" customFormat="1" x14ac:dyDescent="0.25">
      <c r="B77" s="16"/>
      <c r="C77" s="16"/>
      <c r="D77" s="4">
        <f t="shared" ref="D77:O77" si="18">IFERROR(D76/D10, 0)</f>
        <v>0.3675510848387139</v>
      </c>
      <c r="E77" s="4">
        <f t="shared" si="18"/>
        <v>0.42115038613013861</v>
      </c>
      <c r="F77" s="4">
        <f t="shared" si="18"/>
        <v>0.39627572424481483</v>
      </c>
      <c r="G77" s="4">
        <f t="shared" si="18"/>
        <v>0.47795675902551948</v>
      </c>
      <c r="H77" s="4">
        <f t="shared" si="18"/>
        <v>0.4565823647472238</v>
      </c>
      <c r="I77" s="4">
        <f t="shared" si="18"/>
        <v>0.42290949694352692</v>
      </c>
      <c r="J77" s="4">
        <f t="shared" si="18"/>
        <v>0.47157188632422858</v>
      </c>
      <c r="K77" s="4">
        <f t="shared" si="18"/>
        <v>0.48164492253306962</v>
      </c>
      <c r="L77" s="4">
        <f t="shared" si="18"/>
        <v>0.4682245981819908</v>
      </c>
      <c r="M77" s="4">
        <f t="shared" si="18"/>
        <v>0.53095068221188868</v>
      </c>
      <c r="N77" s="4">
        <f t="shared" si="18"/>
        <v>0.53661360212754083</v>
      </c>
      <c r="O77" s="4">
        <f t="shared" si="18"/>
        <v>0.53838807056241866</v>
      </c>
      <c r="P77" s="18"/>
      <c r="Q77" s="4">
        <f>IFERROR(Q76/Q10, 0)</f>
        <v>0.47027132170035857</v>
      </c>
    </row>
    <row r="78" spans="1:17" x14ac:dyDescent="0.25">
      <c r="A78" s="5"/>
      <c r="B78" s="6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Q78" s="1"/>
    </row>
    <row r="79" spans="1:17" s="15" customFormat="1" x14ac:dyDescent="0.25">
      <c r="A79" s="6"/>
      <c r="B79" s="16" t="s">
        <v>254</v>
      </c>
      <c r="C79" s="6"/>
      <c r="D79" s="14">
        <f>SUM(OSRRefD20x_0)</f>
        <v>62782.46</v>
      </c>
      <c r="E79" s="14">
        <f>SUM(OSRRefD20x_1)</f>
        <v>78463.589999999982</v>
      </c>
      <c r="F79" s="14">
        <f>SUM(OSRRefD20x_2)</f>
        <v>68755.760000000009</v>
      </c>
      <c r="G79" s="14">
        <f>SUM(OSRRefD20x_3)</f>
        <v>75807.510000000009</v>
      </c>
      <c r="H79" s="14">
        <f>SUM(OSRRefD20x_4)</f>
        <v>56326.299999999996</v>
      </c>
      <c r="I79" s="14">
        <f>SUM(OSRRefD20x_5)</f>
        <v>63544.320000000007</v>
      </c>
      <c r="J79" s="14">
        <f>SUM(OSRRefD20x_6)</f>
        <v>78964.52999999997</v>
      </c>
      <c r="K79" s="14">
        <f>SUM(OSRRefD20x_7)</f>
        <v>59265.640000000007</v>
      </c>
      <c r="L79" s="14">
        <f>SUM(OSRRefD20x_8)</f>
        <v>64245.679999999993</v>
      </c>
      <c r="M79" s="14">
        <f>SUM(OSRRefD20x_9)</f>
        <v>81431.669999999984</v>
      </c>
      <c r="N79" s="14">
        <f>SUM(OSRRefE20x_0)</f>
        <v>86496.019754446155</v>
      </c>
      <c r="O79" s="14">
        <f>SUM(OSRRefE20x_1)</f>
        <v>82834.604427646147</v>
      </c>
      <c r="Q79" s="14">
        <f>SUM(OSRRefG20x)</f>
        <v>858918.08418209222</v>
      </c>
    </row>
    <row r="80" spans="1:17" s="34" customFormat="1" collapsed="1" x14ac:dyDescent="0.25">
      <c r="A80" s="35"/>
      <c r="B80" s="11" t="str">
        <f>CONCATENATE("     ","*Benefits                                         ")</f>
        <v xml:space="preserve">     *Benefits                                         </v>
      </c>
      <c r="C80" s="11"/>
      <c r="D80" s="1">
        <f>SUM(OSRRefD21_0x_0)</f>
        <v>13065.430000000002</v>
      </c>
      <c r="E80" s="1">
        <f>SUM(OSRRefD21_0x_1)</f>
        <v>15999.289999999999</v>
      </c>
      <c r="F80" s="1">
        <f>SUM(OSRRefD21_0x_2)</f>
        <v>19144.490000000005</v>
      </c>
      <c r="G80" s="1">
        <f>SUM(OSRRefD21_0x_3)</f>
        <v>15231.83</v>
      </c>
      <c r="H80" s="1">
        <f>SUM(OSRRefD21_0x_4)</f>
        <v>14931.480000000001</v>
      </c>
      <c r="I80" s="1">
        <f>SUM(OSRRefD21_0x_5)</f>
        <v>14608.029999999999</v>
      </c>
      <c r="J80" s="1">
        <f>SUM(OSRRefD21_0x_6)</f>
        <v>14402.33</v>
      </c>
      <c r="K80" s="1">
        <f>SUM(OSRRefD21_0x_7)</f>
        <v>13085.359999999999</v>
      </c>
      <c r="L80" s="1">
        <f>SUM(OSRRefD21_0x_8)</f>
        <v>13506.529999999999</v>
      </c>
      <c r="M80" s="1">
        <f>SUM(OSRRefD21_0x_9)</f>
        <v>15713.970000000001</v>
      </c>
      <c r="N80" s="1">
        <f>SUM(OSRRefE21_0x_0)</f>
        <v>15478.279754446148</v>
      </c>
      <c r="O80" s="1">
        <f>SUM(OSRRefE21_0x_1)</f>
        <v>16979.444427646151</v>
      </c>
      <c r="Q80" s="2">
        <f>SUM(OSRRefD20_0x)+IFERROR(SUM(OSRRefE20_0x),0)</f>
        <v>182146.46418209231</v>
      </c>
    </row>
    <row r="81" spans="1:17" s="34" customFormat="1" hidden="1" outlineLevel="1" x14ac:dyDescent="0.25">
      <c r="A81" s="35"/>
      <c r="B81" s="10" t="str">
        <f>CONCATENATE("          ","6111", " - ","F.I.C.A.")</f>
        <v xml:space="preserve">          6111 - F.I.C.A.</v>
      </c>
      <c r="C81" s="11"/>
      <c r="D81" s="2">
        <v>2072.21</v>
      </c>
      <c r="E81" s="2">
        <v>2882.59</v>
      </c>
      <c r="F81" s="2">
        <v>5873.67</v>
      </c>
      <c r="G81" s="2">
        <v>3369.28</v>
      </c>
      <c r="H81" s="2">
        <v>2310.3200000000002</v>
      </c>
      <c r="I81" s="2">
        <v>2339.63</v>
      </c>
      <c r="J81" s="2">
        <v>2448.2600000000002</v>
      </c>
      <c r="K81" s="2">
        <v>2409.65</v>
      </c>
      <c r="L81" s="2">
        <v>2616.6799999999998</v>
      </c>
      <c r="M81" s="2">
        <v>3546.36</v>
      </c>
      <c r="N81" s="2">
        <v>2287.3454766</v>
      </c>
      <c r="O81" s="2">
        <v>3947.6668878</v>
      </c>
      <c r="P81" s="9"/>
      <c r="Q81" s="2">
        <f>SUM(OSRRefD21_0_0x)+IFERROR(SUM(OSRRefE21_0_0x),0)</f>
        <v>36103.662364400006</v>
      </c>
    </row>
    <row r="82" spans="1:17" s="34" customFormat="1" hidden="1" outlineLevel="1" x14ac:dyDescent="0.25">
      <c r="A82" s="35"/>
      <c r="B82" s="10" t="str">
        <f>CONCATENATE("          ","6112", " - ","COMPENSATION INSURANCE")</f>
        <v xml:space="preserve">          6112 - COMPENSATION INSURANCE</v>
      </c>
      <c r="C82" s="11"/>
      <c r="D82" s="2">
        <v>590.98</v>
      </c>
      <c r="E82" s="2">
        <v>983.4</v>
      </c>
      <c r="F82" s="2">
        <v>2711.85</v>
      </c>
      <c r="G82" s="2">
        <v>716.01</v>
      </c>
      <c r="H82" s="2">
        <v>1236.27</v>
      </c>
      <c r="I82" s="2">
        <v>1236.27</v>
      </c>
      <c r="J82" s="2">
        <v>265.27</v>
      </c>
      <c r="K82" s="2">
        <v>745.07</v>
      </c>
      <c r="L82" s="2">
        <v>745.75</v>
      </c>
      <c r="M82" s="2">
        <v>695.25</v>
      </c>
      <c r="N82" s="2">
        <v>1048.9655399999999</v>
      </c>
      <c r="O82" s="2">
        <v>954.29030999999998</v>
      </c>
      <c r="P82" s="9"/>
      <c r="Q82" s="2">
        <f>SUM(OSRRefD21_0_1x)+IFERROR(SUM(OSRRefE21_0_1x),0)</f>
        <v>11929.37585</v>
      </c>
    </row>
    <row r="83" spans="1:17" s="34" customFormat="1" hidden="1" outlineLevel="1" x14ac:dyDescent="0.25">
      <c r="A83" s="35"/>
      <c r="B83" s="10" t="str">
        <f>CONCATENATE("          ","6113", " - ","GROUP INSURANCE")</f>
        <v xml:space="preserve">          6113 - GROUP INSURANCE</v>
      </c>
      <c r="C83" s="11"/>
      <c r="D83" s="2">
        <v>4838.6000000000004</v>
      </c>
      <c r="E83" s="2">
        <v>6377.33</v>
      </c>
      <c r="F83" s="2">
        <v>5541.11</v>
      </c>
      <c r="G83" s="2">
        <v>5541.11</v>
      </c>
      <c r="H83" s="2">
        <v>5541.11</v>
      </c>
      <c r="I83" s="2">
        <v>5577.16</v>
      </c>
      <c r="J83" s="2">
        <v>5528.62</v>
      </c>
      <c r="K83" s="2">
        <v>4826.13</v>
      </c>
      <c r="L83" s="2">
        <v>4818.63</v>
      </c>
      <c r="M83" s="2">
        <v>4822.38</v>
      </c>
      <c r="N83" s="2">
        <v>5958.8461538461497</v>
      </c>
      <c r="O83" s="2">
        <v>5958.8461538461497</v>
      </c>
      <c r="P83" s="9"/>
      <c r="Q83" s="2">
        <f>SUM(OSRRefD21_0_2x)+IFERROR(SUM(OSRRefE21_0_2x),0)</f>
        <v>65329.872307692291</v>
      </c>
    </row>
    <row r="84" spans="1:17" s="34" customFormat="1" hidden="1" outlineLevel="1" x14ac:dyDescent="0.25">
      <c r="A84" s="35"/>
      <c r="B84" s="10" t="str">
        <f>CONCATENATE("          ","6114", " - ","STATE UNEMPLOYMENT INSURANCE")</f>
        <v xml:space="preserve">          6114 - STATE UNEMPLOYMENT INSURANCE</v>
      </c>
      <c r="C84" s="11"/>
      <c r="D84" s="2">
        <v>67.400000000000006</v>
      </c>
      <c r="E84" s="2">
        <v>107.75</v>
      </c>
      <c r="F84" s="2">
        <v>227.12</v>
      </c>
      <c r="G84" s="2">
        <v>100.63</v>
      </c>
      <c r="H84" s="2">
        <v>173.75</v>
      </c>
      <c r="I84" s="2"/>
      <c r="J84" s="2">
        <v>211.03</v>
      </c>
      <c r="K84" s="2">
        <v>104.71</v>
      </c>
      <c r="L84" s="2">
        <v>104.81</v>
      </c>
      <c r="M84" s="2">
        <v>97.71</v>
      </c>
      <c r="N84" s="2">
        <v>147.42218399999999</v>
      </c>
      <c r="O84" s="2">
        <v>134.11647600000001</v>
      </c>
      <c r="P84" s="9"/>
      <c r="Q84" s="2">
        <f>SUM(OSRRefD21_0_3x)+IFERROR(SUM(OSRRefE21_0_3x),0)</f>
        <v>1476.44866</v>
      </c>
    </row>
    <row r="85" spans="1:17" s="34" customFormat="1" hidden="1" outlineLevel="1" x14ac:dyDescent="0.25">
      <c r="A85" s="35"/>
      <c r="B85" s="10" t="str">
        <f>CONCATENATE("          ","6115", " - ","P.E.R.S.")</f>
        <v xml:space="preserve">          6115 - P.E.R.S.</v>
      </c>
      <c r="C85" s="11"/>
      <c r="D85" s="2">
        <v>2512.37</v>
      </c>
      <c r="E85" s="2">
        <v>1889.29</v>
      </c>
      <c r="F85" s="2">
        <v>1664.19</v>
      </c>
      <c r="G85" s="2">
        <v>1272.4100000000001</v>
      </c>
      <c r="H85" s="2">
        <v>2305.04</v>
      </c>
      <c r="I85" s="2">
        <v>1916.82</v>
      </c>
      <c r="J85" s="2">
        <v>2835.08</v>
      </c>
      <c r="K85" s="2">
        <v>1852.83</v>
      </c>
      <c r="L85" s="2">
        <v>1916.82</v>
      </c>
      <c r="M85" s="2">
        <v>1841.51</v>
      </c>
      <c r="N85" s="2">
        <v>1731.18</v>
      </c>
      <c r="O85" s="2">
        <v>1731.18</v>
      </c>
      <c r="P85" s="9"/>
      <c r="Q85" s="2">
        <f>SUM(OSRRefD21_0_4x)+IFERROR(SUM(OSRRefE21_0_4x),0)</f>
        <v>23468.719999999998</v>
      </c>
    </row>
    <row r="86" spans="1:17" s="34" customFormat="1" hidden="1" outlineLevel="1" x14ac:dyDescent="0.25">
      <c r="A86" s="35"/>
      <c r="B86" s="10" t="str">
        <f>CONCATENATE("          ","6116", " - ","EDUCATIONAL BENEFITS")</f>
        <v xml:space="preserve">          6116 - EDUCATIONAL BENEFITS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>
        <v>0</v>
      </c>
      <c r="O86" s="2">
        <v>0</v>
      </c>
      <c r="P86" s="9"/>
      <c r="Q86" s="2">
        <f>SUM(OSRRefD21_0_5x)+IFERROR(SUM(OSRRefE21_0_5x),0)</f>
        <v>0</v>
      </c>
    </row>
    <row r="87" spans="1:17" s="34" customFormat="1" hidden="1" outlineLevel="1" x14ac:dyDescent="0.25">
      <c r="A87" s="35"/>
      <c r="B87" s="10" t="str">
        <f>CONCATENATE("          ","6118", " - ","VACATION")</f>
        <v xml:space="preserve">          6118 - VACATION</v>
      </c>
      <c r="C87" s="11"/>
      <c r="D87" s="2">
        <v>1625.03</v>
      </c>
      <c r="E87" s="2">
        <v>1849.98</v>
      </c>
      <c r="F87" s="2">
        <v>1385.36</v>
      </c>
      <c r="G87" s="2">
        <v>1957.79</v>
      </c>
      <c r="H87" s="2">
        <v>1659.26</v>
      </c>
      <c r="I87" s="2">
        <v>1789.38</v>
      </c>
      <c r="J87" s="2">
        <v>1729.43</v>
      </c>
      <c r="K87" s="2">
        <v>1633.18</v>
      </c>
      <c r="L87" s="2">
        <v>1633.18</v>
      </c>
      <c r="M87" s="2">
        <v>2449.77</v>
      </c>
      <c r="N87" s="2">
        <v>1395.84</v>
      </c>
      <c r="O87" s="2">
        <v>1395.84</v>
      </c>
      <c r="P87" s="9"/>
      <c r="Q87" s="2">
        <f>SUM(OSRRefD21_0_6x)+IFERROR(SUM(OSRRefE21_0_6x),0)</f>
        <v>20504.04</v>
      </c>
    </row>
    <row r="88" spans="1:17" s="34" customFormat="1" hidden="1" outlineLevel="1" x14ac:dyDescent="0.25">
      <c r="A88" s="35"/>
      <c r="B88" s="10" t="str">
        <f>CONCATENATE("          ","6119", " - ","SICK LEAVE")</f>
        <v xml:space="preserve">          6119 - SICK LEAVE</v>
      </c>
      <c r="C88" s="11"/>
      <c r="D88" s="2">
        <v>1000.53</v>
      </c>
      <c r="E88" s="2">
        <v>1319.82</v>
      </c>
      <c r="F88" s="2">
        <v>1223.8800000000001</v>
      </c>
      <c r="G88" s="2">
        <v>1691.91</v>
      </c>
      <c r="H88" s="2">
        <v>1232.0899999999999</v>
      </c>
      <c r="I88" s="2">
        <v>1336.24</v>
      </c>
      <c r="J88" s="2">
        <v>1220.93</v>
      </c>
      <c r="K88" s="2">
        <v>1105.6199999999999</v>
      </c>
      <c r="L88" s="2">
        <v>1105.6199999999999</v>
      </c>
      <c r="M88" s="2">
        <v>1658.43</v>
      </c>
      <c r="N88" s="2">
        <v>1683.6804</v>
      </c>
      <c r="O88" s="2">
        <v>1632.5046</v>
      </c>
      <c r="P88" s="9"/>
      <c r="Q88" s="2">
        <f>SUM(OSRRefD21_0_7x)+IFERROR(SUM(OSRRefE21_0_7x),0)</f>
        <v>16211.254999999999</v>
      </c>
    </row>
    <row r="89" spans="1:17" s="34" customFormat="1" hidden="1" outlineLevel="1" x14ac:dyDescent="0.25">
      <c r="A89" s="35"/>
      <c r="B89" s="10" t="str">
        <f>CONCATENATE("          ","6156", " - ","EMPLOYEE MEALS")</f>
        <v xml:space="preserve">          6156 - EMPLOYEE MEALS</v>
      </c>
      <c r="C89" s="11"/>
      <c r="D89" s="2">
        <v>358.31</v>
      </c>
      <c r="E89" s="2">
        <v>589.13</v>
      </c>
      <c r="F89" s="2">
        <v>517.30999999999995</v>
      </c>
      <c r="G89" s="2">
        <v>582.69000000000005</v>
      </c>
      <c r="H89" s="2">
        <v>473.64</v>
      </c>
      <c r="I89" s="2">
        <v>412.53</v>
      </c>
      <c r="J89" s="2">
        <v>163.71</v>
      </c>
      <c r="K89" s="2">
        <v>408.17</v>
      </c>
      <c r="L89" s="2">
        <v>565.04</v>
      </c>
      <c r="M89" s="2">
        <v>602.55999999999995</v>
      </c>
      <c r="N89" s="2">
        <v>1225</v>
      </c>
      <c r="O89" s="2">
        <v>1225</v>
      </c>
      <c r="P89" s="9"/>
      <c r="Q89" s="2">
        <f>SUM(OSRRefD21_0_8x)+IFERROR(SUM(OSRRefE21_0_8x),0)</f>
        <v>7123.09</v>
      </c>
    </row>
    <row r="90" spans="1:17" s="34" customFormat="1" collapsed="1" x14ac:dyDescent="0.25">
      <c r="A90" s="35"/>
      <c r="B90" s="11" t="str">
        <f>CONCATENATE("     ","*Payroll                                          ")</f>
        <v xml:space="preserve">     *Payroll                                          </v>
      </c>
      <c r="C90" s="11"/>
      <c r="D90" s="1">
        <f>SUM(OSRRefD21_1x_0)</f>
        <v>32293.550000000003</v>
      </c>
      <c r="E90" s="1">
        <f>SUM(OSRRefD21_1x_1)</f>
        <v>41314.639999999999</v>
      </c>
      <c r="F90" s="1">
        <f>SUM(OSRRefD21_1x_2)</f>
        <v>38040.07</v>
      </c>
      <c r="G90" s="1">
        <f>SUM(OSRRefD21_1x_3)</f>
        <v>40179.089999999997</v>
      </c>
      <c r="H90" s="1">
        <f>SUM(OSRRefD21_1x_4)</f>
        <v>31832.15</v>
      </c>
      <c r="I90" s="1">
        <f>SUM(OSRRefD21_1x_5)</f>
        <v>37554.350000000006</v>
      </c>
      <c r="J90" s="1">
        <f>SUM(OSRRefD21_1x_6)</f>
        <v>45208.939999999995</v>
      </c>
      <c r="K90" s="1">
        <f>SUM(OSRRefD21_1x_7)</f>
        <v>37229.65</v>
      </c>
      <c r="L90" s="1">
        <f>SUM(OSRRefD21_1x_8)</f>
        <v>41331.880000000005</v>
      </c>
      <c r="M90" s="1">
        <f>SUM(OSRRefD21_1x_9)</f>
        <v>43955.270000000004</v>
      </c>
      <c r="N90" s="1">
        <f>SUM(OSRRefE21_1x_0)</f>
        <v>54100.740000000005</v>
      </c>
      <c r="O90" s="1">
        <f>SUM(OSRRefE21_1x_1)</f>
        <v>48983.16</v>
      </c>
      <c r="Q90" s="2">
        <f>SUM(OSRRefD20_1x)+IFERROR(SUM(OSRRefE20_1x),0)</f>
        <v>492023.49000000005</v>
      </c>
    </row>
    <row r="91" spans="1:17" s="34" customFormat="1" hidden="1" outlineLevel="1" x14ac:dyDescent="0.25">
      <c r="A91" s="35"/>
      <c r="B91" s="10" t="str">
        <f>CONCATENATE("          ","6001", " - ","ADMINISTRATIVE SALARIES")</f>
        <v xml:space="preserve">          6001 - ADMINISTRATIVE SALARIES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>
        <v>0</v>
      </c>
      <c r="O91" s="2">
        <v>0</v>
      </c>
      <c r="P91" s="9"/>
      <c r="Q91" s="2">
        <f>SUM(OSRRefD21_1_0x)+IFERROR(SUM(OSRRefE21_1_0x),0)</f>
        <v>0</v>
      </c>
    </row>
    <row r="92" spans="1:17" s="34" customFormat="1" hidden="1" outlineLevel="1" x14ac:dyDescent="0.25">
      <c r="A92" s="35"/>
      <c r="B92" s="10" t="str">
        <f>CONCATENATE("          ","6002", " - ","STAFF SALARIES")</f>
        <v xml:space="preserve">          6002 - STAFF SALARIES</v>
      </c>
      <c r="C92" s="11"/>
      <c r="D92" s="2">
        <v>22090.400000000001</v>
      </c>
      <c r="E92" s="2">
        <v>18082.939999999999</v>
      </c>
      <c r="F92" s="2">
        <v>15514.48</v>
      </c>
      <c r="G92" s="2">
        <v>14599.4</v>
      </c>
      <c r="H92" s="2">
        <v>14465.94</v>
      </c>
      <c r="I92" s="2">
        <v>18940.03</v>
      </c>
      <c r="J92" s="2">
        <v>23210.36</v>
      </c>
      <c r="K92" s="2">
        <v>18906.509999999998</v>
      </c>
      <c r="L92" s="2">
        <v>19213.95</v>
      </c>
      <c r="M92" s="2">
        <v>22106.6</v>
      </c>
      <c r="N92" s="2">
        <v>18117</v>
      </c>
      <c r="O92" s="2">
        <v>18117</v>
      </c>
      <c r="P92" s="9"/>
      <c r="Q92" s="2">
        <f>SUM(OSRRefD21_1_1x)+IFERROR(SUM(OSRRefE21_1_1x),0)</f>
        <v>223364.61000000002</v>
      </c>
    </row>
    <row r="93" spans="1:17" s="34" customFormat="1" hidden="1" outlineLevel="1" x14ac:dyDescent="0.25">
      <c r="A93" s="35"/>
      <c r="B93" s="10" t="str">
        <f>CONCATENATE("          ","6003", " - ","STAFF HOURLY-9 MONTH")</f>
        <v xml:space="preserve">          6003 - STAFF HOURLY-9 MONTH</v>
      </c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>
        <v>0</v>
      </c>
      <c r="O93" s="2">
        <v>0</v>
      </c>
      <c r="P93" s="9"/>
      <c r="Q93" s="2">
        <f>SUM(OSRRefD21_1_2x)+IFERROR(SUM(OSRRefE21_1_2x),0)</f>
        <v>0</v>
      </c>
    </row>
    <row r="94" spans="1:17" s="34" customFormat="1" hidden="1" outlineLevel="1" x14ac:dyDescent="0.25">
      <c r="A94" s="35"/>
      <c r="B94" s="10" t="str">
        <f>CONCATENATE("          ","6004", " - ","STAFF HOURLY")</f>
        <v xml:space="preserve">          6004 - STAFF HOURLY</v>
      </c>
      <c r="C94" s="11"/>
      <c r="D94" s="2">
        <v>6739.72</v>
      </c>
      <c r="E94" s="2">
        <v>7211.23</v>
      </c>
      <c r="F94" s="2">
        <v>9483.5400000000009</v>
      </c>
      <c r="G94" s="2">
        <v>9364.9599999999991</v>
      </c>
      <c r="H94" s="2">
        <v>5238.05</v>
      </c>
      <c r="I94" s="2">
        <v>3854.25</v>
      </c>
      <c r="J94" s="2">
        <v>3770.92</v>
      </c>
      <c r="K94" s="2">
        <v>3620.72</v>
      </c>
      <c r="L94" s="2">
        <v>3122.6</v>
      </c>
      <c r="M94" s="2">
        <v>5641.76</v>
      </c>
      <c r="N94" s="2">
        <v>9171.1200000000008</v>
      </c>
      <c r="O94" s="2">
        <v>9171.1200000000008</v>
      </c>
      <c r="P94" s="9"/>
      <c r="Q94" s="2">
        <f>SUM(OSRRefD21_1_3x)+IFERROR(SUM(OSRRefE21_1_3x),0)</f>
        <v>76389.990000000005</v>
      </c>
    </row>
    <row r="95" spans="1:17" s="34" customFormat="1" hidden="1" outlineLevel="1" x14ac:dyDescent="0.25">
      <c r="A95" s="35"/>
      <c r="B95" s="10" t="str">
        <f>CONCATENATE("          ","6005", " - ","TEMPORARY WAGES-HOURLY")</f>
        <v xml:space="preserve">          6005 - TEMPORARY WAGES-HOURLY</v>
      </c>
      <c r="C95" s="11"/>
      <c r="D95" s="2">
        <v>1937.43</v>
      </c>
      <c r="E95" s="2">
        <v>4486.28</v>
      </c>
      <c r="F95" s="2">
        <v>6615.24</v>
      </c>
      <c r="G95" s="2">
        <v>7661.13</v>
      </c>
      <c r="H95" s="2">
        <v>5186.8599999999997</v>
      </c>
      <c r="I95" s="2">
        <v>5638.39</v>
      </c>
      <c r="J95" s="2">
        <v>5750.61</v>
      </c>
      <c r="K95" s="2">
        <v>6204.5</v>
      </c>
      <c r="L95" s="2">
        <v>8360.42</v>
      </c>
      <c r="M95" s="2">
        <v>7541.21</v>
      </c>
      <c r="N95" s="2">
        <v>0</v>
      </c>
      <c r="O95" s="2">
        <v>0</v>
      </c>
      <c r="P95" s="9"/>
      <c r="Q95" s="2">
        <f>SUM(OSRRefD21_1_4x)+IFERROR(SUM(OSRRefE21_1_4x),0)</f>
        <v>59382.07</v>
      </c>
    </row>
    <row r="96" spans="1:17" s="34" customFormat="1" hidden="1" outlineLevel="1" x14ac:dyDescent="0.25">
      <c r="A96" s="35"/>
      <c r="B96" s="10" t="str">
        <f>CONCATENATE("          ","6006", " - ","TEMPORARY PART TIME")</f>
        <v xml:space="preserve">          6006 - TEMPORARY PART TIME</v>
      </c>
      <c r="C96" s="11"/>
      <c r="D96" s="2"/>
      <c r="E96" s="2"/>
      <c r="F96" s="2"/>
      <c r="G96" s="2"/>
      <c r="H96" s="2"/>
      <c r="I96" s="2"/>
      <c r="J96" s="2"/>
      <c r="K96" s="2">
        <v>1294.42</v>
      </c>
      <c r="L96" s="2">
        <v>1476.19</v>
      </c>
      <c r="M96" s="2">
        <v>2207.4699999999998</v>
      </c>
      <c r="N96" s="2">
        <v>0</v>
      </c>
      <c r="O96" s="2">
        <v>0</v>
      </c>
      <c r="P96" s="9"/>
      <c r="Q96" s="2">
        <f>SUM(OSRRefD21_1_5x)+IFERROR(SUM(OSRRefE21_1_5x),0)</f>
        <v>4978.08</v>
      </c>
    </row>
    <row r="97" spans="1:17" s="34" customFormat="1" hidden="1" outlineLevel="1" x14ac:dyDescent="0.25">
      <c r="A97" s="35"/>
      <c r="B97" s="10" t="str">
        <f>CONCATENATE("          ","6007", " - ","STUDENT HOURLY")</f>
        <v xml:space="preserve">          6007 - STUDENT HOURLY</v>
      </c>
      <c r="C97" s="11"/>
      <c r="D97" s="2">
        <v>1526</v>
      </c>
      <c r="E97" s="2">
        <v>11101.16</v>
      </c>
      <c r="F97" s="2">
        <v>5371.14</v>
      </c>
      <c r="G97" s="2">
        <v>7077.58</v>
      </c>
      <c r="H97" s="2">
        <v>6058.73</v>
      </c>
      <c r="I97" s="2">
        <v>8038.52</v>
      </c>
      <c r="J97" s="2">
        <v>11914.53</v>
      </c>
      <c r="K97" s="2">
        <v>6364.48</v>
      </c>
      <c r="L97" s="2">
        <v>8046.35</v>
      </c>
      <c r="M97" s="2">
        <v>4867.8999999999996</v>
      </c>
      <c r="N97" s="2">
        <v>0</v>
      </c>
      <c r="O97" s="2">
        <v>21695.040000000001</v>
      </c>
      <c r="P97" s="9"/>
      <c r="Q97" s="2">
        <f>SUM(OSRRefD21_1_6x)+IFERROR(SUM(OSRRefE21_1_6x),0)</f>
        <v>92061.43</v>
      </c>
    </row>
    <row r="98" spans="1:17" s="34" customFormat="1" hidden="1" outlineLevel="1" x14ac:dyDescent="0.25">
      <c r="A98" s="35"/>
      <c r="B98" s="10" t="str">
        <f>CONCATENATE("          ","6008", " - ","STUDENT HOURLY-FICA EXEMPT")</f>
        <v xml:space="preserve">          6008 - STUDENT HOURLY-FICA EXEMPT</v>
      </c>
      <c r="C98" s="11"/>
      <c r="D98" s="2"/>
      <c r="E98" s="2">
        <v>433.03</v>
      </c>
      <c r="F98" s="2">
        <v>1055.67</v>
      </c>
      <c r="G98" s="2">
        <v>1476.02</v>
      </c>
      <c r="H98" s="2">
        <v>882.57</v>
      </c>
      <c r="I98" s="2">
        <v>1083.1600000000001</v>
      </c>
      <c r="J98" s="2">
        <v>562.52</v>
      </c>
      <c r="K98" s="2">
        <v>839.02</v>
      </c>
      <c r="L98" s="2">
        <v>1112.3699999999999</v>
      </c>
      <c r="M98" s="2">
        <v>1590.33</v>
      </c>
      <c r="N98" s="2">
        <v>26812.62</v>
      </c>
      <c r="O98" s="2">
        <v>0</v>
      </c>
      <c r="P98" s="9"/>
      <c r="Q98" s="2">
        <f>SUM(OSRRefD21_1_7x)+IFERROR(SUM(OSRRefE21_1_7x),0)</f>
        <v>35847.31</v>
      </c>
    </row>
    <row r="99" spans="1:17" s="34" customFormat="1" hidden="1" outlineLevel="1" x14ac:dyDescent="0.25">
      <c r="A99" s="35"/>
      <c r="B99" s="10" t="str">
        <f>CONCATENATE("          ","6009", " - ","TEMPORARY-SEASONAL")</f>
        <v xml:space="preserve">          6009 - TEMPORARY-SEASONAL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>
        <v>0</v>
      </c>
      <c r="O99" s="2">
        <v>0</v>
      </c>
      <c r="P99" s="9"/>
      <c r="Q99" s="2">
        <f>SUM(OSRRefD21_1_8x)+IFERROR(SUM(OSRRefE21_1_8x),0)</f>
        <v>0</v>
      </c>
    </row>
    <row r="100" spans="1:17" s="34" customFormat="1" hidden="1" outlineLevel="1" x14ac:dyDescent="0.25">
      <c r="A100" s="35"/>
      <c r="B100" s="10" t="str">
        <f>CONCATENATE("          ","6010", " - ","GRATUITY")</f>
        <v xml:space="preserve">          6010 - GRATUITY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>
        <v>0</v>
      </c>
      <c r="O100" s="2">
        <v>0</v>
      </c>
      <c r="P100" s="9"/>
      <c r="Q100" s="2">
        <f>SUM(OSRRefD21_1_9x)+IFERROR(SUM(OSRRefE21_1_9x),0)</f>
        <v>0</v>
      </c>
    </row>
    <row r="101" spans="1:17" s="34" customFormat="1" collapsed="1" x14ac:dyDescent="0.25">
      <c r="A101" s="35"/>
      <c r="B101" s="11" t="str">
        <f>CONCATENATE("     ","Advertising/Promo                                 ")</f>
        <v xml:space="preserve">     Advertising/Promo                                 </v>
      </c>
      <c r="C101" s="11"/>
      <c r="D101" s="1">
        <f>SUM(OSRRefD21_2x_0)</f>
        <v>1340.93</v>
      </c>
      <c r="E101" s="1">
        <f>SUM(OSRRefD21_2x_1)</f>
        <v>9301.39</v>
      </c>
      <c r="F101" s="1">
        <f>SUM(OSRRefD21_2x_2)</f>
        <v>391.39</v>
      </c>
      <c r="G101" s="1">
        <f>SUM(OSRRefD21_2x_3)</f>
        <v>1191.44</v>
      </c>
      <c r="H101" s="1">
        <f>SUM(OSRRefD21_2x_4)</f>
        <v>548.78</v>
      </c>
      <c r="I101" s="1">
        <f>SUM(OSRRefD21_2x_5)</f>
        <v>273.42</v>
      </c>
      <c r="J101" s="1">
        <f>SUM(OSRRefD21_2x_6)</f>
        <v>637.52</v>
      </c>
      <c r="K101" s="1">
        <f>SUM(OSRRefD21_2x_7)</f>
        <v>114.65</v>
      </c>
      <c r="L101" s="1">
        <f>SUM(OSRRefD21_2x_8)</f>
        <v>42.6</v>
      </c>
      <c r="M101" s="1">
        <f>SUM(OSRRefD21_2x_9)</f>
        <v>1011.62</v>
      </c>
      <c r="N101" s="1">
        <f>SUM(OSRRefE21_2x_0)</f>
        <v>150</v>
      </c>
      <c r="O101" s="1">
        <f>SUM(OSRRefE21_2x_1)</f>
        <v>100</v>
      </c>
      <c r="Q101" s="2">
        <f>SUM(OSRRefD20_2x)+IFERROR(SUM(OSRRefE20_2x),0)</f>
        <v>15103.740000000002</v>
      </c>
    </row>
    <row r="102" spans="1:17" s="34" customFormat="1" hidden="1" outlineLevel="1" x14ac:dyDescent="0.25">
      <c r="A102" s="35"/>
      <c r="B102" s="10" t="str">
        <f>CONCATENATE("          ","6362", " - ","ADVERTISING EXPENSE")</f>
        <v xml:space="preserve">          6362 - ADVERTISING EXPENSE</v>
      </c>
      <c r="C102" s="11"/>
      <c r="D102" s="2">
        <v>1340.93</v>
      </c>
      <c r="E102" s="2">
        <v>9301.39</v>
      </c>
      <c r="F102" s="2">
        <v>391.39</v>
      </c>
      <c r="G102" s="2">
        <v>1191.44</v>
      </c>
      <c r="H102" s="2">
        <v>548.78</v>
      </c>
      <c r="I102" s="2">
        <v>273.42</v>
      </c>
      <c r="J102" s="2">
        <v>637.52</v>
      </c>
      <c r="K102" s="2">
        <v>114.65</v>
      </c>
      <c r="L102" s="2">
        <v>42.6</v>
      </c>
      <c r="M102" s="2">
        <v>1011.62</v>
      </c>
      <c r="N102" s="2">
        <v>150</v>
      </c>
      <c r="O102" s="2">
        <v>100</v>
      </c>
      <c r="P102" s="9"/>
      <c r="Q102" s="2">
        <f>SUM(OSRRefD21_2_0x)+IFERROR(SUM(OSRRefE21_2_0x),0)</f>
        <v>15103.740000000002</v>
      </c>
    </row>
    <row r="103" spans="1:17" s="34" customFormat="1" collapsed="1" x14ac:dyDescent="0.25">
      <c r="A103" s="35"/>
      <c r="B103" s="11" t="str">
        <f>CONCATENATE("     ","Bad Debts/Over/Short                              ")</f>
        <v xml:space="preserve">     Bad Debts/Over/Short                              </v>
      </c>
      <c r="C103" s="11"/>
      <c r="D103" s="1">
        <f>SUM(OSRRefD21_3x_0)</f>
        <v>-0.9</v>
      </c>
      <c r="E103" s="1">
        <f>SUM(OSRRefD21_3x_1)</f>
        <v>4.5599999999999996</v>
      </c>
      <c r="F103" s="1">
        <f>SUM(OSRRefD21_3x_2)</f>
        <v>-2.96</v>
      </c>
      <c r="G103" s="1">
        <f>SUM(OSRRefD21_3x_3)</f>
        <v>-1.23</v>
      </c>
      <c r="H103" s="1">
        <f>SUM(OSRRefD21_3x_4)</f>
        <v>-0.48</v>
      </c>
      <c r="I103" s="1">
        <f>SUM(OSRRefD21_3x_5)</f>
        <v>-0.38</v>
      </c>
      <c r="J103" s="1">
        <f>SUM(OSRRefD21_3x_6)</f>
        <v>-0.41</v>
      </c>
      <c r="K103" s="1">
        <f>SUM(OSRRefD21_3x_7)</f>
        <v>-1.1499999999999999</v>
      </c>
      <c r="L103" s="1">
        <f>SUM(OSRRefD21_3x_8)</f>
        <v>-20.41</v>
      </c>
      <c r="M103" s="1">
        <f>SUM(OSRRefD21_3x_9)</f>
        <v>0.26</v>
      </c>
      <c r="N103" s="1">
        <f>SUM(OSRRefE21_3x_0)</f>
        <v>10</v>
      </c>
      <c r="O103" s="1">
        <f>SUM(OSRRefE21_3x_1)</f>
        <v>10</v>
      </c>
      <c r="Q103" s="2">
        <f>SUM(OSRRefD20_3x)+IFERROR(SUM(OSRRefE20_3x),0)</f>
        <v>-3.0999999999999979</v>
      </c>
    </row>
    <row r="104" spans="1:17" s="34" customFormat="1" hidden="1" outlineLevel="1" x14ac:dyDescent="0.25">
      <c r="A104" s="35"/>
      <c r="B104" s="10" t="str">
        <f>CONCATENATE("          ","6272", " - ","CASH (OVER/SHORT)")</f>
        <v xml:space="preserve">          6272 - CASH (OVER/SHORT)</v>
      </c>
      <c r="C104" s="11"/>
      <c r="D104" s="2">
        <v>-0.9</v>
      </c>
      <c r="E104" s="2">
        <v>4.5599999999999996</v>
      </c>
      <c r="F104" s="2">
        <v>-2.96</v>
      </c>
      <c r="G104" s="2">
        <v>-1.23</v>
      </c>
      <c r="H104" s="2">
        <v>-0.48</v>
      </c>
      <c r="I104" s="2">
        <v>-0.38</v>
      </c>
      <c r="J104" s="2">
        <v>-0.41</v>
      </c>
      <c r="K104" s="2">
        <v>-1.1499999999999999</v>
      </c>
      <c r="L104" s="2">
        <v>-20.41</v>
      </c>
      <c r="M104" s="2">
        <v>0.26</v>
      </c>
      <c r="N104" s="2">
        <v>10</v>
      </c>
      <c r="O104" s="2">
        <v>10</v>
      </c>
      <c r="P104" s="9"/>
      <c r="Q104" s="2">
        <f>SUM(OSRRefD21_3_0x)+IFERROR(SUM(OSRRefE21_3_0x),0)</f>
        <v>-3.0999999999999979</v>
      </c>
    </row>
    <row r="105" spans="1:17" s="34" customFormat="1" collapsed="1" x14ac:dyDescent="0.25">
      <c r="A105" s="35"/>
      <c r="B105" s="11" t="str">
        <f>CONCATENATE("     ","Bank/card Fees                                    ")</f>
        <v xml:space="preserve">     Bank/card Fees                                    </v>
      </c>
      <c r="C105" s="11"/>
      <c r="D105" s="1">
        <f>SUM(OSRRefD21_4x_0)</f>
        <v>306.89</v>
      </c>
      <c r="E105" s="1">
        <f>SUM(OSRRefD21_4x_1)</f>
        <v>452.83</v>
      </c>
      <c r="F105" s="1">
        <f>SUM(OSRRefD21_4x_2)</f>
        <v>306.45</v>
      </c>
      <c r="G105" s="1">
        <f>SUM(OSRRefD21_4x_3)</f>
        <v>291.5</v>
      </c>
      <c r="H105" s="1">
        <f>SUM(OSRRefD21_4x_4)</f>
        <v>315.25</v>
      </c>
      <c r="I105" s="1">
        <f>SUM(OSRRefD21_4x_5)</f>
        <v>641.35</v>
      </c>
      <c r="J105" s="1">
        <f>SUM(OSRRefD21_4x_6)</f>
        <v>244.74</v>
      </c>
      <c r="K105" s="1">
        <f>SUM(OSRRefD21_4x_7)</f>
        <v>308.72000000000003</v>
      </c>
      <c r="L105" s="1">
        <f>SUM(OSRRefD21_4x_8)</f>
        <v>470.17</v>
      </c>
      <c r="M105" s="1">
        <f>SUM(OSRRefD21_4x_9)</f>
        <v>494.45</v>
      </c>
      <c r="N105" s="1">
        <f>SUM(OSRRefE21_4x_0)</f>
        <v>1000</v>
      </c>
      <c r="O105" s="1">
        <f>SUM(OSRRefE21_4x_1)</f>
        <v>900</v>
      </c>
      <c r="Q105" s="2">
        <f>SUM(OSRRefD20_4x)+IFERROR(SUM(OSRRefE20_4x),0)</f>
        <v>5732.35</v>
      </c>
    </row>
    <row r="106" spans="1:17" s="34" customFormat="1" hidden="1" outlineLevel="1" x14ac:dyDescent="0.25">
      <c r="A106" s="35"/>
      <c r="B106" s="10" t="str">
        <f>CONCATENATE("          ","6381", " - ","BANK/CREDIT CARD FEES")</f>
        <v xml:space="preserve">          6381 - BANK/CREDIT CARD FEES</v>
      </c>
      <c r="C106" s="11"/>
      <c r="D106" s="2">
        <v>306.89</v>
      </c>
      <c r="E106" s="2">
        <v>452.83</v>
      </c>
      <c r="F106" s="2">
        <v>306.45</v>
      </c>
      <c r="G106" s="2">
        <v>291.5</v>
      </c>
      <c r="H106" s="2">
        <v>315.25</v>
      </c>
      <c r="I106" s="2">
        <v>641.35</v>
      </c>
      <c r="J106" s="2">
        <v>244.74</v>
      </c>
      <c r="K106" s="2">
        <v>308.72000000000003</v>
      </c>
      <c r="L106" s="2">
        <v>470.17</v>
      </c>
      <c r="M106" s="2">
        <v>494.45</v>
      </c>
      <c r="N106" s="2">
        <v>1000</v>
      </c>
      <c r="O106" s="2">
        <v>900</v>
      </c>
      <c r="P106" s="9"/>
      <c r="Q106" s="2">
        <f>SUM(OSRRefD21_4_0x)+IFERROR(SUM(OSRRefE21_4_0x),0)</f>
        <v>5732.35</v>
      </c>
    </row>
    <row r="107" spans="1:17" s="34" customFormat="1" collapsed="1" x14ac:dyDescent="0.25">
      <c r="A107" s="35"/>
      <c r="B107" s="11" t="str">
        <f>CONCATENATE("     ","Discounts and Markdowns                           ")</f>
        <v xml:space="preserve">     Discounts and Markdowns                           </v>
      </c>
      <c r="C107" s="11"/>
      <c r="D107" s="1">
        <f>SUM(OSRRefD21_5x_0)</f>
        <v>0</v>
      </c>
      <c r="E107" s="1">
        <f>SUM(OSRRefD21_5x_1)</f>
        <v>0</v>
      </c>
      <c r="F107" s="1">
        <f>SUM(OSRRefD21_5x_2)</f>
        <v>830.95</v>
      </c>
      <c r="G107" s="1">
        <f>SUM(OSRRefD21_5x_3)</f>
        <v>-830.95</v>
      </c>
      <c r="H107" s="1">
        <f>SUM(OSRRefD21_5x_4)</f>
        <v>0</v>
      </c>
      <c r="I107" s="1">
        <f>SUM(OSRRefD21_5x_5)</f>
        <v>0</v>
      </c>
      <c r="J107" s="1">
        <f>SUM(OSRRefD21_5x_6)</f>
        <v>0</v>
      </c>
      <c r="K107" s="1">
        <f>SUM(OSRRefD21_5x_7)</f>
        <v>0</v>
      </c>
      <c r="L107" s="1">
        <f>SUM(OSRRefD21_5x_8)</f>
        <v>0</v>
      </c>
      <c r="M107" s="1">
        <f>SUM(OSRRefD21_5x_9)</f>
        <v>0</v>
      </c>
      <c r="N107" s="1">
        <f>SUM(OSRRefE21_5x_0)</f>
        <v>0</v>
      </c>
      <c r="O107" s="1">
        <f>SUM(OSRRefE21_5x_1)</f>
        <v>0</v>
      </c>
      <c r="Q107" s="2">
        <f>SUM(OSRRefD20_5x)+IFERROR(SUM(OSRRefE20_5x),0)</f>
        <v>0</v>
      </c>
    </row>
    <row r="108" spans="1:17" s="34" customFormat="1" hidden="1" outlineLevel="1" x14ac:dyDescent="0.25">
      <c r="A108" s="35"/>
      <c r="B108" s="10" t="str">
        <f>CONCATENATE("          ","6382", " - ","DISCOUNTS/MARK DOWNS")</f>
        <v xml:space="preserve">          6382 - DISCOUNTS/MARK DOWNS</v>
      </c>
      <c r="C108" s="11"/>
      <c r="D108" s="2">
        <v>0</v>
      </c>
      <c r="E108" s="2">
        <v>0</v>
      </c>
      <c r="F108" s="2">
        <v>830.95</v>
      </c>
      <c r="G108" s="2">
        <v>-830.95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SUM(OSRRefD21_5_0x)+IFERROR(SUM(OSRRefE21_5_0x),0)</f>
        <v>0</v>
      </c>
    </row>
    <row r="109" spans="1:17" s="34" customFormat="1" hidden="1" outlineLevel="1" x14ac:dyDescent="0.25">
      <c r="A109" s="35"/>
      <c r="B109" s="10" t="str">
        <f>CONCATENATE("          ","9175", " - ","EARNED DISCOUNTS")</f>
        <v xml:space="preserve">          9175 - EARNED DISCOUNTS</v>
      </c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>
        <v>0</v>
      </c>
      <c r="N109" s="2"/>
      <c r="O109" s="2"/>
      <c r="P109" s="9"/>
      <c r="Q109" s="2">
        <f>SUM(OSRRefD21_5_1x)+IFERROR(SUM(OSRRefE21_5_1x),0)</f>
        <v>0</v>
      </c>
    </row>
    <row r="110" spans="1:17" s="34" customFormat="1" collapsed="1" x14ac:dyDescent="0.25">
      <c r="A110" s="35"/>
      <c r="B110" s="11" t="str">
        <f>CONCATENATE("     ","Employees' Appreciation                           ")</f>
        <v xml:space="preserve">     Employees' Appreciation                           </v>
      </c>
      <c r="C110" s="11"/>
      <c r="D110" s="1">
        <f>SUM(OSRRefD21_6x_0)</f>
        <v>0</v>
      </c>
      <c r="E110" s="1">
        <f>SUM(OSRRefD21_6x_1)</f>
        <v>0</v>
      </c>
      <c r="F110" s="1">
        <f>SUM(OSRRefD21_6x_2)</f>
        <v>0</v>
      </c>
      <c r="G110" s="1">
        <f>SUM(OSRRefD21_6x_3)</f>
        <v>0</v>
      </c>
      <c r="H110" s="1">
        <f>SUM(OSRRefD21_6x_4)</f>
        <v>0</v>
      </c>
      <c r="I110" s="1">
        <f>SUM(OSRRefD21_6x_5)</f>
        <v>0</v>
      </c>
      <c r="J110" s="1">
        <f>SUM(OSRRefD21_6x_6)</f>
        <v>0</v>
      </c>
      <c r="K110" s="1">
        <f>SUM(OSRRefD21_6x_7)</f>
        <v>0</v>
      </c>
      <c r="L110" s="1">
        <f>SUM(OSRRefD21_6x_8)</f>
        <v>0</v>
      </c>
      <c r="M110" s="1">
        <f>SUM(OSRRefD21_6x_9)</f>
        <v>0</v>
      </c>
      <c r="N110" s="1">
        <f>SUM(OSRRefE21_6x_0)</f>
        <v>50</v>
      </c>
      <c r="O110" s="1">
        <f>SUM(OSRRefE21_6x_1)</f>
        <v>50</v>
      </c>
      <c r="Q110" s="2">
        <f>SUM(OSRRefD20_6x)+IFERROR(SUM(OSRRefE20_6x),0)</f>
        <v>100</v>
      </c>
    </row>
    <row r="111" spans="1:17" s="34" customFormat="1" hidden="1" outlineLevel="1" x14ac:dyDescent="0.25">
      <c r="A111" s="35"/>
      <c r="B111" s="10" t="str">
        <f>CONCATENATE("          ","6277", " - ","EMPLOYEE APPRECIATION")</f>
        <v xml:space="preserve">          6277 - EMPLOYEE APPRECIATION</v>
      </c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>
        <v>50</v>
      </c>
      <c r="O111" s="2">
        <v>50</v>
      </c>
      <c r="P111" s="9"/>
      <c r="Q111" s="2">
        <f>SUM(OSRRefD21_6_0x)+IFERROR(SUM(OSRRefE21_6_0x),0)</f>
        <v>100</v>
      </c>
    </row>
    <row r="112" spans="1:17" s="34" customFormat="1" collapsed="1" x14ac:dyDescent="0.25">
      <c r="A112" s="35"/>
      <c r="B112" s="11" t="str">
        <f>CONCATENATE("     ","Freight out/Postage                               ")</f>
        <v xml:space="preserve">     Freight out/Postage                               </v>
      </c>
      <c r="C112" s="11"/>
      <c r="D112" s="1">
        <f>SUM(OSRRefD21_7x_0)</f>
        <v>16.39</v>
      </c>
      <c r="E112" s="1">
        <f>SUM(OSRRefD21_7x_1)</f>
        <v>34.06</v>
      </c>
      <c r="F112" s="1">
        <f>SUM(OSRRefD21_7x_2)</f>
        <v>30.66</v>
      </c>
      <c r="G112" s="1">
        <f>SUM(OSRRefD21_7x_3)</f>
        <v>10.85</v>
      </c>
      <c r="H112" s="1">
        <f>SUM(OSRRefD21_7x_4)</f>
        <v>0</v>
      </c>
      <c r="I112" s="1">
        <f>SUM(OSRRefD21_7x_5)</f>
        <v>15.280000000000001</v>
      </c>
      <c r="J112" s="1">
        <f>SUM(OSRRefD21_7x_6)</f>
        <v>127.18</v>
      </c>
      <c r="K112" s="1">
        <f>SUM(OSRRefD21_7x_7)</f>
        <v>52.110000000000007</v>
      </c>
      <c r="L112" s="1">
        <f>SUM(OSRRefD21_7x_8)</f>
        <v>-502.63</v>
      </c>
      <c r="M112" s="1">
        <f>SUM(OSRRefD21_7x_9)</f>
        <v>40.200000000000003</v>
      </c>
      <c r="N112" s="1">
        <f>SUM(OSRRefE21_7x_0)</f>
        <v>25</v>
      </c>
      <c r="O112" s="1">
        <f>SUM(OSRRefE21_7x_1)</f>
        <v>25</v>
      </c>
      <c r="Q112" s="2">
        <f>SUM(OSRRefD20_7x)+IFERROR(SUM(OSRRefE20_7x),0)</f>
        <v>-125.89999999999998</v>
      </c>
    </row>
    <row r="113" spans="1:17" s="34" customFormat="1" hidden="1" outlineLevel="1" x14ac:dyDescent="0.25">
      <c r="A113" s="35"/>
      <c r="B113" s="10" t="str">
        <f>CONCATENATE("          ","6305", " - ","FREIGHT OUT")</f>
        <v xml:space="preserve">          6305 - FREIGHT OUT</v>
      </c>
      <c r="C113" s="11"/>
      <c r="D113" s="2">
        <v>16.39</v>
      </c>
      <c r="E113" s="2">
        <v>34.06</v>
      </c>
      <c r="F113" s="2">
        <v>30.66</v>
      </c>
      <c r="G113" s="2">
        <v>10.85</v>
      </c>
      <c r="H113" s="2"/>
      <c r="I113" s="2">
        <v>21.28</v>
      </c>
      <c r="J113" s="2">
        <v>127.18</v>
      </c>
      <c r="K113" s="2">
        <v>66.260000000000005</v>
      </c>
      <c r="L113" s="2">
        <v>-233.44</v>
      </c>
      <c r="M113" s="2">
        <v>40.200000000000003</v>
      </c>
      <c r="N113" s="2"/>
      <c r="O113" s="2"/>
      <c r="P113" s="9"/>
      <c r="Q113" s="2">
        <f>SUM(OSRRefD21_7_0x)+IFERROR(SUM(OSRRefE21_7_0x),0)</f>
        <v>113.44000000000001</v>
      </c>
    </row>
    <row r="114" spans="1:17" s="34" customFormat="1" hidden="1" outlineLevel="1" x14ac:dyDescent="0.25">
      <c r="A114" s="35"/>
      <c r="B114" s="10" t="str">
        <f>CONCATENATE("          ","6307", " - ","POSTAGE")</f>
        <v xml:space="preserve">          6307 - POSTAGE</v>
      </c>
      <c r="C114" s="11"/>
      <c r="D114" s="2"/>
      <c r="E114" s="2"/>
      <c r="F114" s="2"/>
      <c r="G114" s="2"/>
      <c r="H114" s="2"/>
      <c r="I114" s="2">
        <v>-6</v>
      </c>
      <c r="J114" s="2"/>
      <c r="K114" s="2">
        <v>-14.15</v>
      </c>
      <c r="L114" s="2">
        <v>-269.19</v>
      </c>
      <c r="M114" s="2"/>
      <c r="N114" s="2">
        <v>25</v>
      </c>
      <c r="O114" s="2">
        <v>25</v>
      </c>
      <c r="P114" s="9"/>
      <c r="Q114" s="2">
        <f>SUM(OSRRefD21_7_1x)+IFERROR(SUM(OSRRefE21_7_1x),0)</f>
        <v>-239.33999999999997</v>
      </c>
    </row>
    <row r="115" spans="1:17" s="34" customFormat="1" collapsed="1" x14ac:dyDescent="0.25">
      <c r="A115" s="35"/>
      <c r="B115" s="11" t="str">
        <f>CONCATENATE("     ","General                                           ")</f>
        <v xml:space="preserve">     General                                           </v>
      </c>
      <c r="C115" s="11"/>
      <c r="D115" s="1">
        <f>SUM(OSRRefD21_8x_0)</f>
        <v>0</v>
      </c>
      <c r="E115" s="1">
        <f>SUM(OSRRefD21_8x_1)</f>
        <v>0</v>
      </c>
      <c r="F115" s="1">
        <f>SUM(OSRRefD21_8x_2)</f>
        <v>0</v>
      </c>
      <c r="G115" s="1">
        <f>SUM(OSRRefD21_8x_3)</f>
        <v>0</v>
      </c>
      <c r="H115" s="1">
        <f>SUM(OSRRefD21_8x_4)</f>
        <v>0</v>
      </c>
      <c r="I115" s="1">
        <f>SUM(OSRRefD21_8x_5)</f>
        <v>1285.46</v>
      </c>
      <c r="J115" s="1">
        <f>SUM(OSRRefD21_8x_6)</f>
        <v>0</v>
      </c>
      <c r="K115" s="1">
        <f>SUM(OSRRefD21_8x_7)</f>
        <v>0</v>
      </c>
      <c r="L115" s="1">
        <f>SUM(OSRRefD21_8x_8)</f>
        <v>0</v>
      </c>
      <c r="M115" s="1">
        <f>SUM(OSRRefD21_8x_9)</f>
        <v>94.83</v>
      </c>
      <c r="N115" s="1">
        <f>SUM(OSRRefE21_8x_0)</f>
        <v>0</v>
      </c>
      <c r="O115" s="1">
        <f>SUM(OSRRefE21_8x_1)</f>
        <v>0</v>
      </c>
      <c r="Q115" s="2">
        <f>SUM(OSRRefD20_8x)+IFERROR(SUM(OSRRefE20_8x),0)</f>
        <v>1380.29</v>
      </c>
    </row>
    <row r="116" spans="1:17" s="34" customFormat="1" hidden="1" outlineLevel="1" x14ac:dyDescent="0.25">
      <c r="A116" s="35"/>
      <c r="B116" s="10" t="str">
        <f>CONCATENATE("          ","6279", " - ","GENERAL EXPENSE")</f>
        <v xml:space="preserve">          6279 - GENERAL EXPENSE</v>
      </c>
      <c r="C116" s="11"/>
      <c r="D116" s="2"/>
      <c r="E116" s="2"/>
      <c r="F116" s="2"/>
      <c r="G116" s="2"/>
      <c r="H116" s="2"/>
      <c r="I116" s="2">
        <v>1285.46</v>
      </c>
      <c r="J116" s="2"/>
      <c r="K116" s="2"/>
      <c r="L116" s="2"/>
      <c r="M116" s="2">
        <v>94.83</v>
      </c>
      <c r="N116" s="2">
        <v>0</v>
      </c>
      <c r="O116" s="2">
        <v>0</v>
      </c>
      <c r="P116" s="9"/>
      <c r="Q116" s="2">
        <f>SUM(OSRRefD21_8_0x)+IFERROR(SUM(OSRRefE21_8_0x),0)</f>
        <v>1380.29</v>
      </c>
    </row>
    <row r="117" spans="1:17" s="34" customFormat="1" collapsed="1" x14ac:dyDescent="0.25">
      <c r="A117" s="35"/>
      <c r="B117" s="11" t="str">
        <f>CONCATENATE("     ","Insurance                                         ")</f>
        <v xml:space="preserve">     Insurance                                         </v>
      </c>
      <c r="C117" s="11"/>
      <c r="D117" s="1">
        <f>SUM(OSRRefD21_9x_0)</f>
        <v>161.18</v>
      </c>
      <c r="E117" s="1">
        <f>SUM(OSRRefD21_9x_1)</f>
        <v>161.18</v>
      </c>
      <c r="F117" s="1">
        <f>SUM(OSRRefD21_9x_2)</f>
        <v>161.18</v>
      </c>
      <c r="G117" s="1">
        <f>SUM(OSRRefD21_9x_3)</f>
        <v>161.18</v>
      </c>
      <c r="H117" s="1">
        <f>SUM(OSRRefD21_9x_4)</f>
        <v>161.18</v>
      </c>
      <c r="I117" s="1">
        <f>SUM(OSRRefD21_9x_5)</f>
        <v>161.18</v>
      </c>
      <c r="J117" s="1">
        <f>SUM(OSRRefD21_9x_6)</f>
        <v>161.18</v>
      </c>
      <c r="K117" s="1">
        <f>SUM(OSRRefD21_9x_7)</f>
        <v>161.18</v>
      </c>
      <c r="L117" s="1">
        <f>SUM(OSRRefD21_9x_8)</f>
        <v>161.18</v>
      </c>
      <c r="M117" s="1">
        <f>SUM(OSRRefD21_9x_9)</f>
        <v>161.18</v>
      </c>
      <c r="N117" s="1">
        <f>SUM(OSRRefE21_9x_0)</f>
        <v>176</v>
      </c>
      <c r="O117" s="1">
        <f>SUM(OSRRefE21_9x_1)</f>
        <v>176</v>
      </c>
      <c r="Q117" s="2">
        <f>SUM(OSRRefD20_9x)+IFERROR(SUM(OSRRefE20_9x),0)</f>
        <v>1963.8000000000004</v>
      </c>
    </row>
    <row r="118" spans="1:17" s="34" customFormat="1" hidden="1" outlineLevel="1" x14ac:dyDescent="0.25">
      <c r="A118" s="35"/>
      <c r="B118" s="10" t="str">
        <f>CONCATENATE("          ","6314", " - ","LIABILITY INSURANCE")</f>
        <v xml:space="preserve">          6314 - LIABILITY INSURANCE</v>
      </c>
      <c r="C118" s="11"/>
      <c r="D118" s="2">
        <v>161.18</v>
      </c>
      <c r="E118" s="2">
        <v>161.18</v>
      </c>
      <c r="F118" s="2">
        <v>161.18</v>
      </c>
      <c r="G118" s="2">
        <v>161.18</v>
      </c>
      <c r="H118" s="2">
        <v>161.18</v>
      </c>
      <c r="I118" s="2">
        <v>161.18</v>
      </c>
      <c r="J118" s="2">
        <v>161.18</v>
      </c>
      <c r="K118" s="2">
        <v>161.18</v>
      </c>
      <c r="L118" s="2">
        <v>161.18</v>
      </c>
      <c r="M118" s="2">
        <v>161.18</v>
      </c>
      <c r="N118" s="2">
        <v>176</v>
      </c>
      <c r="O118" s="2">
        <v>176</v>
      </c>
      <c r="P118" s="9"/>
      <c r="Q118" s="2">
        <f>SUM(OSRRefD21_9_0x)+IFERROR(SUM(OSRRefE21_9_0x),0)</f>
        <v>1963.8000000000004</v>
      </c>
    </row>
    <row r="119" spans="1:17" s="34" customFormat="1" collapsed="1" x14ac:dyDescent="0.25">
      <c r="A119" s="35"/>
      <c r="B119" s="11" t="str">
        <f>CONCATENATE("     ","Inventory Adjustment                              ")</f>
        <v xml:space="preserve">     Inventory Adjustment                              </v>
      </c>
      <c r="C119" s="11"/>
      <c r="D119" s="1">
        <f>SUM(OSRRefD21_10x_0)</f>
        <v>1100</v>
      </c>
      <c r="E119" s="1">
        <f>SUM(OSRRefD21_10x_1)</f>
        <v>1100</v>
      </c>
      <c r="F119" s="1">
        <f>SUM(OSRRefD21_10x_2)</f>
        <v>1100</v>
      </c>
      <c r="G119" s="1">
        <f>SUM(OSRRefD21_10x_3)</f>
        <v>1100</v>
      </c>
      <c r="H119" s="1">
        <f>SUM(OSRRefD21_10x_4)</f>
        <v>1100</v>
      </c>
      <c r="I119" s="1">
        <f>SUM(OSRRefD21_10x_5)</f>
        <v>1100</v>
      </c>
      <c r="J119" s="1">
        <f>SUM(OSRRefD21_10x_6)</f>
        <v>1100</v>
      </c>
      <c r="K119" s="1">
        <f>SUM(OSRRefD21_10x_7)</f>
        <v>1100</v>
      </c>
      <c r="L119" s="1">
        <f>SUM(OSRRefD21_10x_8)</f>
        <v>1100</v>
      </c>
      <c r="M119" s="1">
        <f>SUM(OSRRefD21_10x_9)</f>
        <v>1100</v>
      </c>
      <c r="N119" s="1">
        <f>SUM(OSRRefE21_10x_0)</f>
        <v>1100</v>
      </c>
      <c r="O119" s="1">
        <f>SUM(OSRRefE21_10x_1)</f>
        <v>1100</v>
      </c>
      <c r="Q119" s="2">
        <f>SUM(OSRRefD20_10x)+IFERROR(SUM(OSRRefE20_10x),0)</f>
        <v>13200</v>
      </c>
    </row>
    <row r="120" spans="1:17" s="34" customFormat="1" hidden="1" outlineLevel="1" x14ac:dyDescent="0.25">
      <c r="A120" s="35"/>
      <c r="B120" s="10" t="str">
        <f>CONCATENATE("          ","6408", " - ","INVENTORY ADJUSTMENT")</f>
        <v xml:space="preserve">          6408 - INVENTORY ADJUSTMENT</v>
      </c>
      <c r="C120" s="11"/>
      <c r="D120" s="2">
        <v>1100</v>
      </c>
      <c r="E120" s="2">
        <v>1100</v>
      </c>
      <c r="F120" s="2">
        <v>1100</v>
      </c>
      <c r="G120" s="2">
        <v>1100</v>
      </c>
      <c r="H120" s="2">
        <v>1100</v>
      </c>
      <c r="I120" s="2">
        <v>1100</v>
      </c>
      <c r="J120" s="2">
        <v>1100</v>
      </c>
      <c r="K120" s="2">
        <v>1100</v>
      </c>
      <c r="L120" s="2">
        <v>1100</v>
      </c>
      <c r="M120" s="2">
        <v>1100</v>
      </c>
      <c r="N120" s="2">
        <v>1100</v>
      </c>
      <c r="O120" s="2">
        <v>1100</v>
      </c>
      <c r="P120" s="9"/>
      <c r="Q120" s="2">
        <f>SUM(OSRRefD21_10_0x)+IFERROR(SUM(OSRRefE21_10_0x),0)</f>
        <v>13200</v>
      </c>
    </row>
    <row r="121" spans="1:17" s="34" customFormat="1" hidden="1" outlineLevel="1" x14ac:dyDescent="0.25">
      <c r="A121" s="35"/>
      <c r="B121" s="10" t="str">
        <f>CONCATENATE("          ","7741", " - ","INV. SHRINKAGE-LOGO GIFTS")</f>
        <v xml:space="preserve">          7741 - INV. SHRINKAGE-LOGO GIFTS</v>
      </c>
      <c r="C121" s="11"/>
      <c r="D121" s="2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9"/>
      <c r="Q121" s="2">
        <f>SUM(OSRRefD21_10_1x)+IFERROR(SUM(OSRRefE21_10_1x),0)</f>
        <v>0</v>
      </c>
    </row>
    <row r="122" spans="1:17" s="34" customFormat="1" collapsed="1" x14ac:dyDescent="0.25">
      <c r="A122" s="35"/>
      <c r="B122" s="11" t="str">
        <f>CONCATENATE("     ","Professional Services                             ")</f>
        <v xml:space="preserve">     Professional Services                             </v>
      </c>
      <c r="C122" s="11"/>
      <c r="D122" s="1">
        <f>SUM(OSRRefD21_11x_0)</f>
        <v>0</v>
      </c>
      <c r="E122" s="1">
        <f>SUM(OSRRefD21_11x_1)</f>
        <v>0</v>
      </c>
      <c r="F122" s="1">
        <f>SUM(OSRRefD21_11x_2)</f>
        <v>0</v>
      </c>
      <c r="G122" s="1">
        <f>SUM(OSRRefD21_11x_3)</f>
        <v>0</v>
      </c>
      <c r="H122" s="1">
        <f>SUM(OSRRefD21_11x_4)</f>
        <v>0</v>
      </c>
      <c r="I122" s="1">
        <f>SUM(OSRRefD21_11x_5)</f>
        <v>0</v>
      </c>
      <c r="J122" s="1">
        <f>SUM(OSRRefD21_11x_6)</f>
        <v>0</v>
      </c>
      <c r="K122" s="1">
        <f>SUM(OSRRefD21_11x_7)</f>
        <v>0</v>
      </c>
      <c r="L122" s="1">
        <f>SUM(OSRRefD21_11x_8)</f>
        <v>0</v>
      </c>
      <c r="M122" s="1">
        <f>SUM(OSRRefD21_11x_9)</f>
        <v>0</v>
      </c>
      <c r="N122" s="1">
        <f>SUM(OSRRefE21_11x_0)</f>
        <v>0</v>
      </c>
      <c r="O122" s="1">
        <f>SUM(OSRRefE21_11x_1)</f>
        <v>0</v>
      </c>
      <c r="Q122" s="2">
        <f>SUM(OSRRefD20_11x)+IFERROR(SUM(OSRRefE20_11x),0)</f>
        <v>0</v>
      </c>
    </row>
    <row r="123" spans="1:17" s="34" customFormat="1" hidden="1" outlineLevel="1" x14ac:dyDescent="0.25">
      <c r="A123" s="35"/>
      <c r="B123" s="10" t="str">
        <f>CONCATENATE("          ","6336", " - ","PROFESSIONAL SERVICES")</f>
        <v xml:space="preserve">          6336 - PROFESSIONAL SERVICES</v>
      </c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>
        <v>0</v>
      </c>
      <c r="O123" s="2">
        <v>0</v>
      </c>
      <c r="P123" s="9"/>
      <c r="Q123" s="2">
        <f>SUM(OSRRefD21_11_0x)+IFERROR(SUM(OSRRefE21_11_0x),0)</f>
        <v>0</v>
      </c>
    </row>
    <row r="124" spans="1:17" s="34" customFormat="1" collapsed="1" x14ac:dyDescent="0.25">
      <c r="A124" s="35"/>
      <c r="B124" s="11" t="str">
        <f>CONCATENATE("     ","Rent                                              ")</f>
        <v xml:space="preserve">     Rent                                              </v>
      </c>
      <c r="C124" s="11"/>
      <c r="D124" s="1">
        <f>SUM(OSRRefD21_12x_0)</f>
        <v>6900</v>
      </c>
      <c r="E124" s="1">
        <f>SUM(OSRRefD21_12x_1)</f>
        <v>6900</v>
      </c>
      <c r="F124" s="1">
        <f>SUM(OSRRefD21_12x_2)</f>
        <v>6900</v>
      </c>
      <c r="G124" s="1">
        <f>SUM(OSRRefD21_12x_3)</f>
        <v>6900</v>
      </c>
      <c r="H124" s="1">
        <f>SUM(OSRRefD21_12x_4)</f>
        <v>6900</v>
      </c>
      <c r="I124" s="1">
        <f>SUM(OSRRefD21_12x_5)</f>
        <v>6900</v>
      </c>
      <c r="J124" s="1">
        <f>SUM(OSRRefD21_12x_6)</f>
        <v>6900</v>
      </c>
      <c r="K124" s="1">
        <f>SUM(OSRRefD21_12x_7)</f>
        <v>6900</v>
      </c>
      <c r="L124" s="1">
        <f>SUM(OSRRefD21_12x_8)</f>
        <v>6900</v>
      </c>
      <c r="M124" s="1">
        <f>SUM(OSRRefD21_12x_9)</f>
        <v>6900</v>
      </c>
      <c r="N124" s="1">
        <f>SUM(OSRRefE21_12x_0)</f>
        <v>6900</v>
      </c>
      <c r="O124" s="1">
        <f>SUM(OSRRefE21_12x_1)</f>
        <v>6900</v>
      </c>
      <c r="Q124" s="2">
        <f>SUM(OSRRefD20_12x)+IFERROR(SUM(OSRRefE20_12x),0)</f>
        <v>82800</v>
      </c>
    </row>
    <row r="125" spans="1:17" s="34" customFormat="1" hidden="1" outlineLevel="1" x14ac:dyDescent="0.25">
      <c r="A125" s="35"/>
      <c r="B125" s="10" t="str">
        <f>CONCATENATE("          ","6273", " - ","RENT")</f>
        <v xml:space="preserve">          6273 - RENT</v>
      </c>
      <c r="C125" s="11"/>
      <c r="D125" s="2">
        <v>6900</v>
      </c>
      <c r="E125" s="2">
        <v>6900</v>
      </c>
      <c r="F125" s="2">
        <v>6900</v>
      </c>
      <c r="G125" s="2">
        <v>6900</v>
      </c>
      <c r="H125" s="2">
        <v>6900</v>
      </c>
      <c r="I125" s="2">
        <v>6900</v>
      </c>
      <c r="J125" s="2">
        <v>6900</v>
      </c>
      <c r="K125" s="2">
        <v>6900</v>
      </c>
      <c r="L125" s="2">
        <v>6900</v>
      </c>
      <c r="M125" s="2">
        <v>6900</v>
      </c>
      <c r="N125" s="2">
        <v>6900</v>
      </c>
      <c r="O125" s="2">
        <v>6900</v>
      </c>
      <c r="P125" s="9"/>
      <c r="Q125" s="2">
        <f>SUM(OSRRefD21_12_0x)+IFERROR(SUM(OSRRefE21_12_0x),0)</f>
        <v>82800</v>
      </c>
    </row>
    <row r="126" spans="1:17" s="34" customFormat="1" collapsed="1" x14ac:dyDescent="0.25">
      <c r="A126" s="35"/>
      <c r="B126" s="11" t="str">
        <f>CONCATENATE("     ","Repair and Maintenance                            ")</f>
        <v xml:space="preserve">     Repair and Maintenance                            </v>
      </c>
      <c r="C126" s="11"/>
      <c r="D126" s="1">
        <f>SUM(OSRRefD21_13x_0)</f>
        <v>0</v>
      </c>
      <c r="E126" s="1">
        <f>SUM(OSRRefD21_13x_1)</f>
        <v>0</v>
      </c>
      <c r="F126" s="1">
        <f>SUM(OSRRefD21_13x_2)</f>
        <v>48.21</v>
      </c>
      <c r="G126" s="1">
        <f>SUM(OSRRefD21_13x_3)</f>
        <v>0</v>
      </c>
      <c r="H126" s="1">
        <f>SUM(OSRRefD21_13x_4)</f>
        <v>0</v>
      </c>
      <c r="I126" s="1">
        <f>SUM(OSRRefD21_13x_5)</f>
        <v>48.23</v>
      </c>
      <c r="J126" s="1">
        <f>SUM(OSRRefD21_13x_6)</f>
        <v>0</v>
      </c>
      <c r="K126" s="1">
        <f>SUM(OSRRefD21_13x_7)</f>
        <v>-0.52</v>
      </c>
      <c r="L126" s="1">
        <f>SUM(OSRRefD21_13x_8)</f>
        <v>213.79</v>
      </c>
      <c r="M126" s="1">
        <f>SUM(OSRRefD21_13x_9)</f>
        <v>0</v>
      </c>
      <c r="N126" s="1">
        <f>SUM(OSRRefE21_13x_0)</f>
        <v>150</v>
      </c>
      <c r="O126" s="1">
        <f>SUM(OSRRefE21_13x_1)</f>
        <v>50</v>
      </c>
      <c r="Q126" s="2">
        <f>SUM(OSRRefD20_13x)+IFERROR(SUM(OSRRefE20_13x),0)</f>
        <v>509.71</v>
      </c>
    </row>
    <row r="127" spans="1:17" s="34" customFormat="1" hidden="1" outlineLevel="1" x14ac:dyDescent="0.25">
      <c r="A127" s="35"/>
      <c r="B127" s="10" t="str">
        <f>CONCATENATE("          ","6372", " - ","COMPUTER HARDWARE MAINTENANCE")</f>
        <v xml:space="preserve">          6372 - COMPUTER HARDWARE MAINTENANCE</v>
      </c>
      <c r="C127" s="11"/>
      <c r="D127" s="2"/>
      <c r="E127" s="2"/>
      <c r="F127" s="2"/>
      <c r="G127" s="2">
        <v>0</v>
      </c>
      <c r="H127" s="2"/>
      <c r="I127" s="2"/>
      <c r="J127" s="2"/>
      <c r="K127" s="2">
        <v>-0.52</v>
      </c>
      <c r="L127" s="2"/>
      <c r="M127" s="2"/>
      <c r="N127" s="2"/>
      <c r="O127" s="2"/>
      <c r="P127" s="9"/>
      <c r="Q127" s="2">
        <f>SUM(OSRRefD21_13_0x)+IFERROR(SUM(OSRRefE21_13_0x),0)</f>
        <v>-0.52</v>
      </c>
    </row>
    <row r="128" spans="1:17" s="34" customFormat="1" hidden="1" outlineLevel="1" x14ac:dyDescent="0.25">
      <c r="A128" s="35"/>
      <c r="B128" s="10" t="str">
        <f>CONCATENATE("          ","6373", " - ","MAINTENANCE CONTRACTS")</f>
        <v xml:space="preserve">          6373 - MAINTENANCE CONTRACTS</v>
      </c>
      <c r="C128" s="11"/>
      <c r="D128" s="2"/>
      <c r="E128" s="2"/>
      <c r="F128" s="2">
        <v>48.21</v>
      </c>
      <c r="G128" s="2"/>
      <c r="H128" s="2"/>
      <c r="I128" s="2">
        <v>48.23</v>
      </c>
      <c r="J128" s="2"/>
      <c r="K128" s="2"/>
      <c r="L128" s="2">
        <v>48.23</v>
      </c>
      <c r="M128" s="2"/>
      <c r="N128" s="2"/>
      <c r="O128" s="2"/>
      <c r="P128" s="9"/>
      <c r="Q128" s="2">
        <f>SUM(OSRRefD21_13_1x)+IFERROR(SUM(OSRRefE21_13_1x),0)</f>
        <v>144.66999999999999</v>
      </c>
    </row>
    <row r="129" spans="1:17" s="34" customFormat="1" hidden="1" outlineLevel="1" x14ac:dyDescent="0.25">
      <c r="A129" s="35"/>
      <c r="B129" s="10" t="str">
        <f>CONCATENATE("          ","6375", " - ","OUTSIDE REPAIRS &amp; MAINTENANCE")</f>
        <v xml:space="preserve">          6375 - OUTSIDE REPAIRS &amp; MAINTENANCE</v>
      </c>
      <c r="C129" s="11"/>
      <c r="D129" s="2"/>
      <c r="E129" s="2"/>
      <c r="F129" s="2"/>
      <c r="G129" s="2"/>
      <c r="H129" s="2"/>
      <c r="I129" s="2"/>
      <c r="J129" s="2"/>
      <c r="K129" s="2"/>
      <c r="L129" s="2">
        <v>165.56</v>
      </c>
      <c r="M129" s="2"/>
      <c r="N129" s="2">
        <v>150</v>
      </c>
      <c r="O129" s="2">
        <v>50</v>
      </c>
      <c r="P129" s="9"/>
      <c r="Q129" s="2">
        <f>SUM(OSRRefD21_13_2x)+IFERROR(SUM(OSRRefE21_13_2x),0)</f>
        <v>365.56</v>
      </c>
    </row>
    <row r="130" spans="1:17" s="34" customFormat="1" collapsed="1" x14ac:dyDescent="0.25">
      <c r="A130" s="35"/>
      <c r="B130" s="11" t="str">
        <f>CONCATENATE("     ","Royalty &amp; Commissions                             ")</f>
        <v xml:space="preserve">     Royalty &amp; Commissions                             </v>
      </c>
      <c r="C130" s="11"/>
      <c r="D130" s="1">
        <f>SUM(OSRRefD21_14x_0)</f>
        <v>5672.2</v>
      </c>
      <c r="E130" s="1">
        <f>SUM(OSRRefD21_14x_1)</f>
        <v>2250</v>
      </c>
      <c r="F130" s="1">
        <f>SUM(OSRRefD21_14x_2)</f>
        <v>0</v>
      </c>
      <c r="G130" s="1">
        <f>SUM(OSRRefD21_14x_3)</f>
        <v>10489.6</v>
      </c>
      <c r="H130" s="1">
        <f>SUM(OSRRefD21_14x_4)</f>
        <v>0</v>
      </c>
      <c r="I130" s="1">
        <f>SUM(OSRRefD21_14x_5)</f>
        <v>0</v>
      </c>
      <c r="J130" s="1">
        <f>SUM(OSRRefD21_14x_6)</f>
        <v>7785.78</v>
      </c>
      <c r="K130" s="1">
        <f>SUM(OSRRefD21_14x_7)</f>
        <v>0</v>
      </c>
      <c r="L130" s="1">
        <f>SUM(OSRRefD21_14x_8)</f>
        <v>0</v>
      </c>
      <c r="M130" s="1">
        <f>SUM(OSRRefD21_14x_9)</f>
        <v>8961.48</v>
      </c>
      <c r="N130" s="1">
        <f>SUM(OSRRefE21_14x_0)</f>
        <v>6271</v>
      </c>
      <c r="O130" s="1">
        <f>SUM(OSRRefE21_14x_1)</f>
        <v>6271</v>
      </c>
      <c r="Q130" s="2">
        <f>SUM(OSRRefD20_14x)+IFERROR(SUM(OSRRefE20_14x),0)</f>
        <v>47701.06</v>
      </c>
    </row>
    <row r="131" spans="1:17" s="34" customFormat="1" hidden="1" outlineLevel="1" x14ac:dyDescent="0.25">
      <c r="A131" s="35"/>
      <c r="B131" s="10" t="str">
        <f>CONCATENATE("          ","6252", " - ","ROYALTY DUE CSTV")</f>
        <v xml:space="preserve">          6252 - ROYALTY DUE CSTV</v>
      </c>
      <c r="C131" s="1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>
        <v>1085</v>
      </c>
      <c r="O131" s="2">
        <v>1085</v>
      </c>
      <c r="P131" s="9"/>
      <c r="Q131" s="2">
        <f>SUM(OSRRefD21_14_0x)+IFERROR(SUM(OSRRefE21_14_0x),0)</f>
        <v>2170</v>
      </c>
    </row>
    <row r="132" spans="1:17" s="34" customFormat="1" hidden="1" outlineLevel="1" x14ac:dyDescent="0.25">
      <c r="A132" s="35"/>
      <c r="B132" s="10" t="str">
        <f>CONCATENATE("          ","6253", " - ","ROYALTY DUE ATHLETICS-LRG")</f>
        <v xml:space="preserve">          6253 - ROYALTY DUE ATHLETICS-LRG</v>
      </c>
      <c r="C132" s="11"/>
      <c r="D132" s="2">
        <v>5672.2</v>
      </c>
      <c r="E132" s="2">
        <v>2250</v>
      </c>
      <c r="F132" s="2"/>
      <c r="G132" s="2">
        <v>10489.6</v>
      </c>
      <c r="H132" s="2"/>
      <c r="I132" s="2"/>
      <c r="J132" s="2">
        <v>7785.78</v>
      </c>
      <c r="K132" s="2"/>
      <c r="L132" s="2"/>
      <c r="M132" s="2">
        <v>8961.48</v>
      </c>
      <c r="N132" s="2">
        <v>4037</v>
      </c>
      <c r="O132" s="2">
        <v>4037</v>
      </c>
      <c r="P132" s="9"/>
      <c r="Q132" s="2">
        <f>SUM(OSRRefD21_14_1x)+IFERROR(SUM(OSRRefE21_14_1x),0)</f>
        <v>43233.06</v>
      </c>
    </row>
    <row r="133" spans="1:17" s="34" customFormat="1" hidden="1" outlineLevel="1" x14ac:dyDescent="0.25">
      <c r="A133" s="35"/>
      <c r="B133" s="10" t="str">
        <f>CONCATENATE("          ","6254", " - ","ROYALTY &amp; COMMISSIONS")</f>
        <v xml:space="preserve">          6254 - ROYALTY &amp; COMMISSIONS</v>
      </c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>
        <v>1149</v>
      </c>
      <c r="O133" s="2">
        <v>1149</v>
      </c>
      <c r="P133" s="9"/>
      <c r="Q133" s="2">
        <f>SUM(OSRRefD21_14_2x)+IFERROR(SUM(OSRRefE21_14_2x),0)</f>
        <v>2298</v>
      </c>
    </row>
    <row r="134" spans="1:17" s="34" customFormat="1" collapsed="1" x14ac:dyDescent="0.25">
      <c r="A134" s="35"/>
      <c r="B134" s="11" t="str">
        <f>CONCATENATE("     ","Services                                          ")</f>
        <v xml:space="preserve">     Services                                          </v>
      </c>
      <c r="C134" s="11"/>
      <c r="D134" s="1">
        <f>SUM(OSRRefD21_15x_0)</f>
        <v>-333.44</v>
      </c>
      <c r="E134" s="1">
        <f>SUM(OSRRefD21_15x_1)</f>
        <v>81.84</v>
      </c>
      <c r="F134" s="1">
        <f>SUM(OSRRefD21_15x_2)</f>
        <v>142.57</v>
      </c>
      <c r="G134" s="1">
        <f>SUM(OSRRefD21_15x_3)</f>
        <v>96.860000000000014</v>
      </c>
      <c r="H134" s="1">
        <f>SUM(OSRRefD21_15x_4)</f>
        <v>-19.419999999999995</v>
      </c>
      <c r="I134" s="1">
        <f>SUM(OSRRefD21_15x_5)</f>
        <v>224.41</v>
      </c>
      <c r="J134" s="1">
        <f>SUM(OSRRefD21_15x_6)</f>
        <v>81.84</v>
      </c>
      <c r="K134" s="1">
        <f>SUM(OSRRefD21_15x_7)</f>
        <v>81.84</v>
      </c>
      <c r="L134" s="1">
        <f>SUM(OSRRefD21_15x_8)</f>
        <v>250.83999999999997</v>
      </c>
      <c r="M134" s="1">
        <f>SUM(OSRRefD21_15x_9)</f>
        <v>155.59</v>
      </c>
      <c r="N134" s="1">
        <f>SUM(OSRRefE21_15x_0)</f>
        <v>155</v>
      </c>
      <c r="O134" s="1">
        <f>SUM(OSRRefE21_15x_1)</f>
        <v>210</v>
      </c>
      <c r="Q134" s="2">
        <f>SUM(OSRRefD20_15x)+IFERROR(SUM(OSRRefE20_15x),0)</f>
        <v>1127.9299999999998</v>
      </c>
    </row>
    <row r="135" spans="1:17" s="34" customFormat="1" hidden="1" outlineLevel="1" x14ac:dyDescent="0.25">
      <c r="A135" s="35"/>
      <c r="B135" s="10" t="str">
        <f>CONCATENATE("          ","6283", " - ","PLANT SERVICE")</f>
        <v xml:space="preserve">          6283 - PLANT SERVICE</v>
      </c>
      <c r="C135" s="11"/>
      <c r="D135" s="2"/>
      <c r="E135" s="2"/>
      <c r="F135" s="2"/>
      <c r="G135" s="2"/>
      <c r="H135" s="2">
        <v>41.31</v>
      </c>
      <c r="I135" s="2"/>
      <c r="J135" s="2"/>
      <c r="K135" s="2"/>
      <c r="L135" s="2"/>
      <c r="M135" s="2"/>
      <c r="N135" s="2">
        <v>0</v>
      </c>
      <c r="O135" s="2">
        <v>0</v>
      </c>
      <c r="P135" s="9"/>
      <c r="Q135" s="2">
        <f>SUM(OSRRefD21_15_0x)+IFERROR(SUM(OSRRefE21_15_0x),0)</f>
        <v>41.31</v>
      </c>
    </row>
    <row r="136" spans="1:17" s="34" customFormat="1" hidden="1" outlineLevel="1" x14ac:dyDescent="0.25">
      <c r="A136" s="35"/>
      <c r="B136" s="10" t="str">
        <f>CONCATENATE("          ","6284", " - ","TRASH REMOVAL EXPENSE")</f>
        <v xml:space="preserve">          6284 - TRASH REMOVAL EXPENSE</v>
      </c>
      <c r="C136" s="11"/>
      <c r="D136" s="2">
        <v>142.57</v>
      </c>
      <c r="E136" s="2">
        <v>142.57</v>
      </c>
      <c r="F136" s="2">
        <v>142.57</v>
      </c>
      <c r="G136" s="2">
        <v>157.59</v>
      </c>
      <c r="H136" s="2"/>
      <c r="I136" s="2">
        <v>285.14</v>
      </c>
      <c r="J136" s="2">
        <v>142.57</v>
      </c>
      <c r="K136" s="2">
        <v>142.57</v>
      </c>
      <c r="L136" s="2">
        <v>142.57</v>
      </c>
      <c r="M136" s="2">
        <v>142.57</v>
      </c>
      <c r="N136" s="2">
        <v>55</v>
      </c>
      <c r="O136" s="2">
        <v>110</v>
      </c>
      <c r="P136" s="9"/>
      <c r="Q136" s="2">
        <f>SUM(OSRRefD21_15_1x)+IFERROR(SUM(OSRRefE21_15_1x),0)</f>
        <v>1605.7199999999998</v>
      </c>
    </row>
    <row r="137" spans="1:17" s="34" customFormat="1" hidden="1" outlineLevel="1" x14ac:dyDescent="0.25">
      <c r="A137" s="35"/>
      <c r="B137" s="10" t="str">
        <f>CONCATENATE("          ","6285", " - ","JANITORIAL SERVICES")</f>
        <v xml:space="preserve">          6285 - JANITORIAL SERVICES</v>
      </c>
      <c r="C137" s="11"/>
      <c r="D137" s="2">
        <v>-476.01</v>
      </c>
      <c r="E137" s="2">
        <v>-60.73</v>
      </c>
      <c r="F137" s="2"/>
      <c r="G137" s="2">
        <v>-60.73</v>
      </c>
      <c r="H137" s="2">
        <v>-60.73</v>
      </c>
      <c r="I137" s="2">
        <v>-60.73</v>
      </c>
      <c r="J137" s="2">
        <v>-60.73</v>
      </c>
      <c r="K137" s="2">
        <v>-60.73</v>
      </c>
      <c r="L137" s="2">
        <v>108.27</v>
      </c>
      <c r="M137" s="2">
        <v>13.02</v>
      </c>
      <c r="N137" s="2">
        <v>100</v>
      </c>
      <c r="O137" s="2">
        <v>100</v>
      </c>
      <c r="P137" s="9"/>
      <c r="Q137" s="2">
        <f>SUM(OSRRefD21_15_2x)+IFERROR(SUM(OSRRefE21_15_2x),0)</f>
        <v>-519.10000000000014</v>
      </c>
    </row>
    <row r="138" spans="1:17" s="34" customFormat="1" collapsed="1" x14ac:dyDescent="0.25">
      <c r="A138" s="35"/>
      <c r="B138" s="11" t="str">
        <f>CONCATENATE("     ","Subscriptions &amp; Dues                              ")</f>
        <v xml:space="preserve">     Subscriptions &amp; Dues                              </v>
      </c>
      <c r="C138" s="11"/>
      <c r="D138" s="1">
        <f>SUM(OSRRefD21_16x_0)</f>
        <v>75</v>
      </c>
      <c r="E138" s="1">
        <f>SUM(OSRRefD21_16x_1)</f>
        <v>0</v>
      </c>
      <c r="F138" s="1">
        <f>SUM(OSRRefD21_16x_2)</f>
        <v>75.73</v>
      </c>
      <c r="G138" s="1">
        <f>SUM(OSRRefD21_16x_3)</f>
        <v>75</v>
      </c>
      <c r="H138" s="1">
        <f>SUM(OSRRefD21_16x_4)</f>
        <v>-441</v>
      </c>
      <c r="I138" s="1">
        <f>SUM(OSRRefD21_16x_5)</f>
        <v>-60.73</v>
      </c>
      <c r="J138" s="1">
        <f>SUM(OSRRefD21_16x_6)</f>
        <v>208.7</v>
      </c>
      <c r="K138" s="1">
        <f>SUM(OSRRefD21_16x_7)</f>
        <v>0</v>
      </c>
      <c r="L138" s="1">
        <f>SUM(OSRRefD21_16x_8)</f>
        <v>75</v>
      </c>
      <c r="M138" s="1">
        <f>SUM(OSRRefD21_16x_9)</f>
        <v>2014.87</v>
      </c>
      <c r="N138" s="1">
        <f>SUM(OSRRefE21_16x_0)</f>
        <v>0</v>
      </c>
      <c r="O138" s="1">
        <f>SUM(OSRRefE21_16x_1)</f>
        <v>200</v>
      </c>
      <c r="Q138" s="2">
        <f>SUM(OSRRefD20_16x)+IFERROR(SUM(OSRRefE20_16x),0)</f>
        <v>2222.5699999999997</v>
      </c>
    </row>
    <row r="139" spans="1:17" s="34" customFormat="1" hidden="1" outlineLevel="1" x14ac:dyDescent="0.25">
      <c r="A139" s="35"/>
      <c r="B139" s="10" t="str">
        <f>CONCATENATE("          ","6258", " - ","MEMBERSHIP DUES")</f>
        <v xml:space="preserve">          6258 - MEMBERSHIP DUES</v>
      </c>
      <c r="C139" s="11"/>
      <c r="D139" s="2"/>
      <c r="E139" s="2"/>
      <c r="F139" s="2"/>
      <c r="G139" s="2"/>
      <c r="H139" s="2">
        <v>-441</v>
      </c>
      <c r="I139" s="2">
        <v>-60.73</v>
      </c>
      <c r="J139" s="2">
        <v>133.69999999999999</v>
      </c>
      <c r="K139" s="2"/>
      <c r="L139" s="2"/>
      <c r="M139" s="2"/>
      <c r="N139" s="2">
        <v>0</v>
      </c>
      <c r="O139" s="2">
        <v>200</v>
      </c>
      <c r="P139" s="9"/>
      <c r="Q139" s="2">
        <f>SUM(OSRRefD21_16_0x)+IFERROR(SUM(OSRRefE21_16_0x),0)</f>
        <v>-168.03000000000003</v>
      </c>
    </row>
    <row r="140" spans="1:17" s="34" customFormat="1" hidden="1" outlineLevel="1" x14ac:dyDescent="0.25">
      <c r="A140" s="35"/>
      <c r="B140" s="10" t="str">
        <f>CONCATENATE("          ","6275", " - ","SUBSCRIPTIONS")</f>
        <v xml:space="preserve">          6275 - SUBSCRIPTIONS</v>
      </c>
      <c r="C140" s="11"/>
      <c r="D140" s="2">
        <v>75</v>
      </c>
      <c r="E140" s="2"/>
      <c r="F140" s="2">
        <v>75.73</v>
      </c>
      <c r="G140" s="2">
        <v>75</v>
      </c>
      <c r="H140" s="2"/>
      <c r="I140" s="2"/>
      <c r="J140" s="2">
        <v>75</v>
      </c>
      <c r="K140" s="2"/>
      <c r="L140" s="2">
        <v>75</v>
      </c>
      <c r="M140" s="2">
        <v>2014.87</v>
      </c>
      <c r="N140" s="2">
        <v>0</v>
      </c>
      <c r="O140" s="2">
        <v>0</v>
      </c>
      <c r="P140" s="9"/>
      <c r="Q140" s="2">
        <f>SUM(OSRRefD21_16_1x)+IFERROR(SUM(OSRRefE21_16_1x),0)</f>
        <v>2390.6</v>
      </c>
    </row>
    <row r="141" spans="1:17" s="34" customFormat="1" collapsed="1" x14ac:dyDescent="0.25">
      <c r="A141" s="35"/>
      <c r="B141" s="11" t="str">
        <f>CONCATENATE("     ","Supplies                                          ")</f>
        <v xml:space="preserve">     Supplies                                          </v>
      </c>
      <c r="C141" s="11"/>
      <c r="D141" s="1">
        <f>SUM(OSRRefD21_17x_0)</f>
        <v>1149.0700000000002</v>
      </c>
      <c r="E141" s="1">
        <f>SUM(OSRRefD21_17x_1)</f>
        <v>63.11</v>
      </c>
      <c r="F141" s="1">
        <f>SUM(OSRRefD21_17x_2)</f>
        <v>297.52999999999997</v>
      </c>
      <c r="G141" s="1">
        <f>SUM(OSRRefD21_17x_3)</f>
        <v>259.3</v>
      </c>
      <c r="H141" s="1">
        <f>SUM(OSRRefD21_17x_4)</f>
        <v>417.95</v>
      </c>
      <c r="I141" s="1">
        <f>SUM(OSRRefD21_17x_5)</f>
        <v>57.53</v>
      </c>
      <c r="J141" s="1">
        <f>SUM(OSRRefD21_17x_6)</f>
        <v>1606.65</v>
      </c>
      <c r="K141" s="1">
        <f>SUM(OSRRefD21_17x_7)</f>
        <v>71.62</v>
      </c>
      <c r="L141" s="1">
        <f>SUM(OSRRefD21_17x_8)</f>
        <v>266.36</v>
      </c>
      <c r="M141" s="1">
        <f>SUM(OSRRefD21_17x_9)</f>
        <v>399.95</v>
      </c>
      <c r="N141" s="1">
        <f>SUM(OSRRefE21_17x_0)</f>
        <v>270</v>
      </c>
      <c r="O141" s="1">
        <f>SUM(OSRRefE21_17x_1)</f>
        <v>220</v>
      </c>
      <c r="Q141" s="2">
        <f>SUM(OSRRefD20_17x)+IFERROR(SUM(OSRRefE20_17x),0)</f>
        <v>5079.07</v>
      </c>
    </row>
    <row r="142" spans="1:17" s="34" customFormat="1" hidden="1" outlineLevel="1" x14ac:dyDescent="0.25">
      <c r="A142" s="35"/>
      <c r="B142" s="10" t="str">
        <f>CONCATENATE("          ","6234", " - ","EXPENDABLE SUPPLIES &amp; EQUIPMEN")</f>
        <v xml:space="preserve">          6234 - EXPENDABLE SUPPLIES &amp; EQUIPMEN</v>
      </c>
      <c r="C142" s="11"/>
      <c r="D142" s="2"/>
      <c r="E142" s="2"/>
      <c r="F142" s="2"/>
      <c r="G142" s="2"/>
      <c r="H142" s="2"/>
      <c r="I142" s="2"/>
      <c r="J142" s="2">
        <v>396.5</v>
      </c>
      <c r="K142" s="2"/>
      <c r="L142" s="2"/>
      <c r="M142" s="2">
        <v>53</v>
      </c>
      <c r="N142" s="2">
        <v>0</v>
      </c>
      <c r="O142" s="2">
        <v>0</v>
      </c>
      <c r="P142" s="9"/>
      <c r="Q142" s="2">
        <f>SUM(OSRRefD21_17_0x)+IFERROR(SUM(OSRRefE21_17_0x),0)</f>
        <v>449.5</v>
      </c>
    </row>
    <row r="143" spans="1:17" s="34" customFormat="1" hidden="1" outlineLevel="1" x14ac:dyDescent="0.25">
      <c r="A143" s="35"/>
      <c r="B143" s="10" t="str">
        <f>CONCATENATE("          ","6235", " - ","COVID-19 EXPENSES")</f>
        <v xml:space="preserve">          6235 - COVID-19 EXPENSES</v>
      </c>
      <c r="C143" s="11"/>
      <c r="D143" s="2">
        <v>961.38</v>
      </c>
      <c r="E143" s="2"/>
      <c r="F143" s="2">
        <v>265.7</v>
      </c>
      <c r="G143" s="2"/>
      <c r="H143" s="2">
        <v>65.05</v>
      </c>
      <c r="I143" s="2"/>
      <c r="J143" s="2"/>
      <c r="K143" s="2"/>
      <c r="L143" s="2"/>
      <c r="M143" s="2"/>
      <c r="N143" s="2">
        <v>150</v>
      </c>
      <c r="O143" s="2">
        <v>150</v>
      </c>
      <c r="P143" s="9"/>
      <c r="Q143" s="2">
        <f>SUM(OSRRefD21_17_1x)+IFERROR(SUM(OSRRefE21_17_1x),0)</f>
        <v>1592.1299999999999</v>
      </c>
    </row>
    <row r="144" spans="1:17" s="34" customFormat="1" hidden="1" outlineLevel="1" x14ac:dyDescent="0.25">
      <c r="A144" s="35"/>
      <c r="B144" s="10" t="str">
        <f>CONCATENATE("          ","6237", " - ","JANITORIAL SUPPLIES")</f>
        <v xml:space="preserve">          6237 - JANITORIAL SUPPLIES</v>
      </c>
      <c r="C144" s="11"/>
      <c r="D144" s="2">
        <v>139.31</v>
      </c>
      <c r="E144" s="2"/>
      <c r="F144" s="2"/>
      <c r="G144" s="2">
        <v>52.43</v>
      </c>
      <c r="H144" s="2"/>
      <c r="I144" s="2"/>
      <c r="J144" s="2"/>
      <c r="K144" s="2"/>
      <c r="L144" s="2"/>
      <c r="M144" s="2"/>
      <c r="N144" s="2">
        <v>20</v>
      </c>
      <c r="O144" s="2">
        <v>20</v>
      </c>
      <c r="P144" s="9"/>
      <c r="Q144" s="2">
        <f>SUM(OSRRefD21_17_2x)+IFERROR(SUM(OSRRefE21_17_2x),0)</f>
        <v>231.74</v>
      </c>
    </row>
    <row r="145" spans="1:17" s="34" customFormat="1" hidden="1" outlineLevel="1" x14ac:dyDescent="0.25">
      <c r="A145" s="35"/>
      <c r="B145" s="10" t="str">
        <f>CONCATENATE("          ","6241", " - ","OFFICE EXPENSE")</f>
        <v xml:space="preserve">          6241 - OFFICE EXPENSE</v>
      </c>
      <c r="C145" s="11"/>
      <c r="D145" s="2">
        <v>48.38</v>
      </c>
      <c r="E145" s="2">
        <v>63.11</v>
      </c>
      <c r="F145" s="2">
        <v>31.83</v>
      </c>
      <c r="G145" s="2">
        <v>20.16</v>
      </c>
      <c r="H145" s="2">
        <v>352.9</v>
      </c>
      <c r="I145" s="2">
        <v>50.78</v>
      </c>
      <c r="J145" s="2">
        <v>337.04</v>
      </c>
      <c r="K145" s="2">
        <v>27.96</v>
      </c>
      <c r="L145" s="2">
        <v>266.36</v>
      </c>
      <c r="M145" s="2">
        <v>346.95</v>
      </c>
      <c r="N145" s="2">
        <v>50</v>
      </c>
      <c r="O145" s="2">
        <v>25</v>
      </c>
      <c r="P145" s="9"/>
      <c r="Q145" s="2">
        <f>SUM(OSRRefD21_17_3x)+IFERROR(SUM(OSRRefE21_17_3x),0)</f>
        <v>1620.47</v>
      </c>
    </row>
    <row r="146" spans="1:17" s="34" customFormat="1" hidden="1" outlineLevel="1" x14ac:dyDescent="0.25">
      <c r="A146" s="35"/>
      <c r="B146" s="10" t="str">
        <f>CONCATENATE("          ","6243", " - ","PAPER SUPPLIES")</f>
        <v xml:space="preserve">          6243 - PAPER SUPPLIES</v>
      </c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>
        <v>0</v>
      </c>
      <c r="O146" s="2">
        <v>0</v>
      </c>
      <c r="P146" s="9"/>
      <c r="Q146" s="2">
        <f>SUM(OSRRefD21_17_4x)+IFERROR(SUM(OSRRefE21_17_4x),0)</f>
        <v>0</v>
      </c>
    </row>
    <row r="147" spans="1:17" s="34" customFormat="1" hidden="1" outlineLevel="1" x14ac:dyDescent="0.25">
      <c r="A147" s="35"/>
      <c r="B147" s="10" t="str">
        <f>CONCATENATE("          ","6244", " - ","SAFETY SUPPLY EXPENSE")</f>
        <v xml:space="preserve">          6244 - SAFETY SUPPLY EXPENSE</v>
      </c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>
        <v>0</v>
      </c>
      <c r="O147" s="2">
        <v>0</v>
      </c>
      <c r="P147" s="9"/>
      <c r="Q147" s="2">
        <f>SUM(OSRRefD21_17_5x)+IFERROR(SUM(OSRRefE21_17_5x),0)</f>
        <v>0</v>
      </c>
    </row>
    <row r="148" spans="1:17" s="34" customFormat="1" hidden="1" outlineLevel="1" x14ac:dyDescent="0.25">
      <c r="A148" s="35"/>
      <c r="B148" s="10" t="str">
        <f>CONCATENATE("          ","6245", " - ","PRINTING")</f>
        <v xml:space="preserve">          6245 - PRINTING</v>
      </c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>
        <v>0</v>
      </c>
      <c r="O148" s="2">
        <v>0</v>
      </c>
      <c r="P148" s="9"/>
      <c r="Q148" s="2">
        <f>SUM(OSRRefD21_17_6x)+IFERROR(SUM(OSRRefE21_17_6x),0)</f>
        <v>0</v>
      </c>
    </row>
    <row r="149" spans="1:17" s="34" customFormat="1" hidden="1" outlineLevel="1" x14ac:dyDescent="0.25">
      <c r="A149" s="35"/>
      <c r="B149" s="10" t="str">
        <f>CONCATENATE("          ","6247", " - ","STORE SUPPLIES")</f>
        <v xml:space="preserve">          6247 - STORE SUPPLIES</v>
      </c>
      <c r="C149" s="11"/>
      <c r="D149" s="2"/>
      <c r="E149" s="2"/>
      <c r="F149" s="2"/>
      <c r="G149" s="2">
        <v>186.71</v>
      </c>
      <c r="H149" s="2"/>
      <c r="I149" s="2">
        <v>6.75</v>
      </c>
      <c r="J149" s="2">
        <v>873.11</v>
      </c>
      <c r="K149" s="2">
        <v>43.66</v>
      </c>
      <c r="L149" s="2"/>
      <c r="M149" s="2"/>
      <c r="N149" s="2">
        <v>50</v>
      </c>
      <c r="O149" s="2">
        <v>25</v>
      </c>
      <c r="P149" s="9"/>
      <c r="Q149" s="2">
        <f>SUM(OSRRefD21_17_7x)+IFERROR(SUM(OSRRefE21_17_7x),0)</f>
        <v>1185.23</v>
      </c>
    </row>
    <row r="150" spans="1:17" s="34" customFormat="1" collapsed="1" x14ac:dyDescent="0.25">
      <c r="A150" s="35"/>
      <c r="B150" s="11" t="str">
        <f>CONCATENATE("     ","Telephone/Data Lines                              ")</f>
        <v xml:space="preserve">     Telephone/Data Lines                              </v>
      </c>
      <c r="C150" s="11"/>
      <c r="D150" s="1">
        <f>SUM(OSRRefD21_18x_0)</f>
        <v>792.54</v>
      </c>
      <c r="E150" s="1">
        <f>SUM(OSRRefD21_18x_1)</f>
        <v>763.04</v>
      </c>
      <c r="F150" s="1">
        <f>SUM(OSRRefD21_18x_2)</f>
        <v>1261.48</v>
      </c>
      <c r="G150" s="1">
        <f>SUM(OSRRefD21_18x_3)</f>
        <v>556.03</v>
      </c>
      <c r="H150" s="1">
        <f>SUM(OSRRefD21_18x_4)</f>
        <v>563.03</v>
      </c>
      <c r="I150" s="1">
        <f>SUM(OSRRefD21_18x_5)</f>
        <v>693.58</v>
      </c>
      <c r="J150" s="1">
        <f>SUM(OSRRefD21_18x_6)</f>
        <v>338.09</v>
      </c>
      <c r="K150" s="1">
        <f>SUM(OSRRefD21_18x_7)</f>
        <v>134.04</v>
      </c>
      <c r="L150" s="1">
        <f>SUM(OSRRefD21_18x_8)</f>
        <v>326.89999999999998</v>
      </c>
      <c r="M150" s="1">
        <f>SUM(OSRRefD21_18x_9)</f>
        <v>330</v>
      </c>
      <c r="N150" s="1">
        <f>SUM(OSRRefE21_18x_0)</f>
        <v>530</v>
      </c>
      <c r="O150" s="1">
        <f>SUM(OSRRefE21_18x_1)</f>
        <v>530</v>
      </c>
      <c r="Q150" s="2">
        <f>SUM(OSRRefD20_18x)+IFERROR(SUM(OSRRefE20_18x),0)</f>
        <v>6818.73</v>
      </c>
    </row>
    <row r="151" spans="1:17" s="34" customFormat="1" hidden="1" outlineLevel="1" x14ac:dyDescent="0.25">
      <c r="A151" s="35"/>
      <c r="B151" s="10" t="str">
        <f>CONCATENATE("          ","6303", " - ","DATA PHONE LINES")</f>
        <v xml:space="preserve">          6303 - DATA PHONE LINES</v>
      </c>
      <c r="C151" s="1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>
        <v>230</v>
      </c>
      <c r="O151" s="2">
        <v>230</v>
      </c>
      <c r="P151" s="9"/>
      <c r="Q151" s="2">
        <f>SUM(OSRRefD21_18_0x)+IFERROR(SUM(OSRRefE21_18_0x),0)</f>
        <v>460</v>
      </c>
    </row>
    <row r="152" spans="1:17" s="34" customFormat="1" hidden="1" outlineLevel="1" x14ac:dyDescent="0.25">
      <c r="A152" s="35"/>
      <c r="B152" s="10" t="str">
        <f>CONCATENATE("          ","6309", " - ","TELEPHONE")</f>
        <v xml:space="preserve">          6309 - TELEPHONE</v>
      </c>
      <c r="C152" s="11"/>
      <c r="D152" s="2">
        <v>792.54</v>
      </c>
      <c r="E152" s="2">
        <v>763.04</v>
      </c>
      <c r="F152" s="2">
        <v>1261.48</v>
      </c>
      <c r="G152" s="2">
        <v>556.03</v>
      </c>
      <c r="H152" s="2">
        <v>563.03</v>
      </c>
      <c r="I152" s="2">
        <v>693.58</v>
      </c>
      <c r="J152" s="2">
        <v>338.09</v>
      </c>
      <c r="K152" s="2">
        <v>134.04</v>
      </c>
      <c r="L152" s="2">
        <v>326.89999999999998</v>
      </c>
      <c r="M152" s="2">
        <v>330</v>
      </c>
      <c r="N152" s="2">
        <v>300</v>
      </c>
      <c r="O152" s="2">
        <v>300</v>
      </c>
      <c r="P152" s="9"/>
      <c r="Q152" s="2">
        <f>SUM(OSRRefD21_18_1x)+IFERROR(SUM(OSRRefE21_18_1x),0)</f>
        <v>6358.73</v>
      </c>
    </row>
    <row r="153" spans="1:17" s="34" customFormat="1" collapsed="1" x14ac:dyDescent="0.25">
      <c r="A153" s="35"/>
      <c r="B153" s="11" t="str">
        <f>CONCATENATE("     ","Training                                          ")</f>
        <v xml:space="preserve">     Training                                          </v>
      </c>
      <c r="C153" s="11"/>
      <c r="D153" s="1">
        <f>SUM(OSRRefD21_19x_0)</f>
        <v>0</v>
      </c>
      <c r="E153" s="1">
        <f>SUM(OSRRefD21_19x_1)</f>
        <v>0</v>
      </c>
      <c r="F153" s="1">
        <f>SUM(OSRRefD21_19x_2)</f>
        <v>0</v>
      </c>
      <c r="G153" s="1">
        <f>SUM(OSRRefD21_19x_3)</f>
        <v>0</v>
      </c>
      <c r="H153" s="1">
        <f>SUM(OSRRefD21_19x_4)</f>
        <v>0</v>
      </c>
      <c r="I153" s="1">
        <f>SUM(OSRRefD21_19x_5)</f>
        <v>0</v>
      </c>
      <c r="J153" s="1">
        <f>SUM(OSRRefD21_19x_6)</f>
        <v>0</v>
      </c>
      <c r="K153" s="1">
        <f>SUM(OSRRefD21_19x_7)</f>
        <v>0</v>
      </c>
      <c r="L153" s="1">
        <f>SUM(OSRRefD21_19x_8)</f>
        <v>0</v>
      </c>
      <c r="M153" s="1">
        <f>SUM(OSRRefD21_19x_9)</f>
        <v>0</v>
      </c>
      <c r="N153" s="1">
        <f>SUM(OSRRefE21_19x_0)</f>
        <v>0</v>
      </c>
      <c r="O153" s="1">
        <f>SUM(OSRRefE21_19x_1)</f>
        <v>0</v>
      </c>
      <c r="Q153" s="2">
        <f>SUM(OSRRefD20_19x)+IFERROR(SUM(OSRRefE20_19x),0)</f>
        <v>0</v>
      </c>
    </row>
    <row r="154" spans="1:17" s="34" customFormat="1" hidden="1" outlineLevel="1" x14ac:dyDescent="0.25">
      <c r="A154" s="35"/>
      <c r="B154" s="10" t="str">
        <f>CONCATENATE("          ","6376", " - ","TRAINING")</f>
        <v xml:space="preserve">          6376 - TRAINING</v>
      </c>
      <c r="C154" s="1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>
        <v>0</v>
      </c>
      <c r="O154" s="2">
        <v>0</v>
      </c>
      <c r="P154" s="9"/>
      <c r="Q154" s="2">
        <f>SUM(OSRRefD21_19_0x)+IFERROR(SUM(OSRRefE21_19_0x),0)</f>
        <v>0</v>
      </c>
    </row>
    <row r="155" spans="1:17" s="34" customFormat="1" collapsed="1" x14ac:dyDescent="0.25">
      <c r="A155" s="35"/>
      <c r="B155" s="11" t="str">
        <f>CONCATENATE("     ","Travel                                            ")</f>
        <v xml:space="preserve">     Travel                                            </v>
      </c>
      <c r="C155" s="11"/>
      <c r="D155" s="1">
        <f>SUM(OSRRefD21_20x_0)</f>
        <v>215.16</v>
      </c>
      <c r="E155" s="1">
        <f>SUM(OSRRefD21_20x_1)</f>
        <v>25.76</v>
      </c>
      <c r="F155" s="1">
        <f>SUM(OSRRefD21_20x_2)</f>
        <v>0</v>
      </c>
      <c r="G155" s="1">
        <f>SUM(OSRRefD21_20x_3)</f>
        <v>80.959999999999994</v>
      </c>
      <c r="H155" s="1">
        <f>SUM(OSRRefD21_20x_4)</f>
        <v>0</v>
      </c>
      <c r="I155" s="1">
        <f>SUM(OSRRefD21_20x_5)</f>
        <v>0</v>
      </c>
      <c r="J155" s="1">
        <f>SUM(OSRRefD21_20x_6)</f>
        <v>129.38</v>
      </c>
      <c r="K155" s="1">
        <f>SUM(OSRRefD21_20x_7)</f>
        <v>0</v>
      </c>
      <c r="L155" s="1">
        <f>SUM(OSRRefD21_20x_8)</f>
        <v>93.02</v>
      </c>
      <c r="M155" s="1">
        <f>SUM(OSRRefD21_20x_9)</f>
        <v>69.069999999999993</v>
      </c>
      <c r="N155" s="1">
        <f>SUM(OSRRefE21_20x_0)</f>
        <v>25</v>
      </c>
      <c r="O155" s="1">
        <f>SUM(OSRRefE21_20x_1)</f>
        <v>25</v>
      </c>
      <c r="Q155" s="2">
        <f>SUM(OSRRefD20_20x)+IFERROR(SUM(OSRRefE20_20x),0)</f>
        <v>663.34999999999991</v>
      </c>
    </row>
    <row r="156" spans="1:17" s="34" customFormat="1" hidden="1" outlineLevel="1" x14ac:dyDescent="0.25">
      <c r="A156" s="35"/>
      <c r="B156" s="10" t="str">
        <f>CONCATENATE("          ","6294", " - ","TRAVEL OPERATIONAL")</f>
        <v xml:space="preserve">          6294 - TRAVEL OPERATIONAL</v>
      </c>
      <c r="C156" s="11"/>
      <c r="D156" s="2">
        <v>215.16</v>
      </c>
      <c r="E156" s="2">
        <v>25.76</v>
      </c>
      <c r="F156" s="2"/>
      <c r="G156" s="2">
        <v>80.959999999999994</v>
      </c>
      <c r="H156" s="2"/>
      <c r="I156" s="2"/>
      <c r="J156" s="2">
        <v>129.38</v>
      </c>
      <c r="K156" s="2"/>
      <c r="L156" s="2">
        <v>93.02</v>
      </c>
      <c r="M156" s="2">
        <v>69.069999999999993</v>
      </c>
      <c r="N156" s="2">
        <v>0</v>
      </c>
      <c r="O156" s="2">
        <v>0</v>
      </c>
      <c r="P156" s="9"/>
      <c r="Q156" s="2">
        <f>SUM(OSRRefD21_20_0x)+IFERROR(SUM(OSRRefE21_20_0x),0)</f>
        <v>613.34999999999991</v>
      </c>
    </row>
    <row r="157" spans="1:17" s="34" customFormat="1" hidden="1" outlineLevel="1" x14ac:dyDescent="0.25">
      <c r="A157" s="35"/>
      <c r="B157" s="10" t="str">
        <f>CONCATENATE("          ","6298", " - ","VEHICLE MILEAGE")</f>
        <v xml:space="preserve">          6298 - VEHICLE MILEAGE</v>
      </c>
      <c r="C157" s="1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>
        <v>25</v>
      </c>
      <c r="O157" s="2">
        <v>25</v>
      </c>
      <c r="P157" s="9"/>
      <c r="Q157" s="2">
        <f>SUM(OSRRefD21_20_1x)+IFERROR(SUM(OSRRefE21_20_1x),0)</f>
        <v>50</v>
      </c>
    </row>
    <row r="158" spans="1:17" s="34" customFormat="1" collapsed="1" x14ac:dyDescent="0.25">
      <c r="A158" s="35"/>
      <c r="B158" s="11" t="str">
        <f>CONCATENATE("     ","Utilities                                         ")</f>
        <v xml:space="preserve">     Utilities                                         </v>
      </c>
      <c r="C158" s="11"/>
      <c r="D158" s="1">
        <f>SUM(OSRRefD21_21x_0)</f>
        <v>28.46</v>
      </c>
      <c r="E158" s="1">
        <f>SUM(OSRRefD21_21x_1)</f>
        <v>11.89</v>
      </c>
      <c r="F158" s="1">
        <f>SUM(OSRRefD21_21x_2)</f>
        <v>28.01</v>
      </c>
      <c r="G158" s="1">
        <f>SUM(OSRRefD21_21x_3)</f>
        <v>16.05</v>
      </c>
      <c r="H158" s="1">
        <f>SUM(OSRRefD21_21x_4)</f>
        <v>17.38</v>
      </c>
      <c r="I158" s="1">
        <f>SUM(OSRRefD21_21x_5)</f>
        <v>42.61</v>
      </c>
      <c r="J158" s="1">
        <f>SUM(OSRRefD21_21x_6)</f>
        <v>32.61</v>
      </c>
      <c r="K158" s="1">
        <f>SUM(OSRRefD21_21x_7)</f>
        <v>28.14</v>
      </c>
      <c r="L158" s="1">
        <f>SUM(OSRRefD21_21x_8)</f>
        <v>30.45</v>
      </c>
      <c r="M158" s="1">
        <f>SUM(OSRRefD21_21x_9)</f>
        <v>28.93</v>
      </c>
      <c r="N158" s="1">
        <f>SUM(OSRRefE21_21x_0)</f>
        <v>105</v>
      </c>
      <c r="O158" s="1">
        <f>SUM(OSRRefE21_21x_1)</f>
        <v>105</v>
      </c>
      <c r="Q158" s="2">
        <f>SUM(OSRRefD20_21x)+IFERROR(SUM(OSRRefE20_21x),0)</f>
        <v>474.53</v>
      </c>
    </row>
    <row r="159" spans="1:17" s="34" customFormat="1" hidden="1" outlineLevel="1" x14ac:dyDescent="0.25">
      <c r="A159" s="35"/>
      <c r="B159" s="10" t="str">
        <f>CONCATENATE("          ","6274", " - ","UTILITIES")</f>
        <v xml:space="preserve">          6274 - UTILITIES</v>
      </c>
      <c r="C159" s="11"/>
      <c r="D159" s="2">
        <v>28.46</v>
      </c>
      <c r="E159" s="2">
        <v>11.89</v>
      </c>
      <c r="F159" s="2">
        <v>28.01</v>
      </c>
      <c r="G159" s="2">
        <v>16.05</v>
      </c>
      <c r="H159" s="2">
        <v>17.38</v>
      </c>
      <c r="I159" s="2">
        <v>42.61</v>
      </c>
      <c r="J159" s="2">
        <v>32.61</v>
      </c>
      <c r="K159" s="2">
        <v>28.14</v>
      </c>
      <c r="L159" s="2">
        <v>30.45</v>
      </c>
      <c r="M159" s="2">
        <v>28.93</v>
      </c>
      <c r="N159" s="2">
        <v>105</v>
      </c>
      <c r="O159" s="2">
        <v>105</v>
      </c>
      <c r="P159" s="9"/>
      <c r="Q159" s="2">
        <f>SUM(OSRRefD21_21_0x)+IFERROR(SUM(OSRRefE21_21_0x),0)</f>
        <v>474.53</v>
      </c>
    </row>
    <row r="160" spans="1:17" s="30" customFormat="1" x14ac:dyDescent="0.25">
      <c r="A160" s="21"/>
      <c r="B160" s="21"/>
      <c r="C160" s="2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Q160" s="1"/>
    </row>
    <row r="161" spans="1:17" s="9" customFormat="1" x14ac:dyDescent="0.25">
      <c r="A161" s="23"/>
      <c r="B161" s="16" t="s">
        <v>291</v>
      </c>
      <c r="C161" s="22"/>
      <c r="D161" s="3">
        <f>--172008.31</f>
        <v>172008.31</v>
      </c>
      <c r="E161" s="3">
        <f t="shared" ref="E161:F161" si="19">0</f>
        <v>0</v>
      </c>
      <c r="F161" s="3">
        <f t="shared" si="19"/>
        <v>0</v>
      </c>
      <c r="G161" s="3">
        <f>--20979.2</f>
        <v>20979.200000000001</v>
      </c>
      <c r="H161" s="3">
        <f>--14886.94</f>
        <v>14886.94</v>
      </c>
      <c r="I161" s="3">
        <f>-1666.87</f>
        <v>-1666.87</v>
      </c>
      <c r="J161" s="3">
        <f>--15571.57</f>
        <v>15571.57</v>
      </c>
      <c r="K161" s="3">
        <f>-3986.08</f>
        <v>-3986.08</v>
      </c>
      <c r="L161" s="3">
        <f>--175014.7</f>
        <v>175014.7</v>
      </c>
      <c r="M161" s="3">
        <f>--18017.01</f>
        <v>18017.009999999998</v>
      </c>
      <c r="N161" s="3">
        <v>8075</v>
      </c>
      <c r="O161" s="3">
        <v>221695</v>
      </c>
      <c r="Q161" s="2">
        <f>SUM(OSRRefD23_0x)+IFERROR(SUM(OSRRefE23_0x),0)</f>
        <v>640594.78</v>
      </c>
    </row>
    <row r="162" spans="1:17" x14ac:dyDescent="0.25">
      <c r="A162" s="5"/>
      <c r="B162" s="6"/>
      <c r="C162" s="6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</row>
    <row r="163" spans="1:17" s="15" customFormat="1" x14ac:dyDescent="0.25">
      <c r="A163" s="6"/>
      <c r="B163" s="17" t="s">
        <v>274</v>
      </c>
      <c r="C163" s="17"/>
      <c r="D163" s="8">
        <f t="shared" ref="D163:O163" si="20">IFERROR(+D76-D79+D161, 0)</f>
        <v>173466.72999999998</v>
      </c>
      <c r="E163" s="8">
        <f t="shared" si="20"/>
        <v>52538.749999999927</v>
      </c>
      <c r="F163" s="8">
        <f t="shared" si="20"/>
        <v>-23672.200000000041</v>
      </c>
      <c r="G163" s="8">
        <f t="shared" si="20"/>
        <v>332.67000000002372</v>
      </c>
      <c r="H163" s="8">
        <f t="shared" si="20"/>
        <v>4607.2500000000346</v>
      </c>
      <c r="I163" s="8">
        <f t="shared" si="20"/>
        <v>25567.449999999964</v>
      </c>
      <c r="J163" s="8">
        <f t="shared" si="20"/>
        <v>12196.420000000107</v>
      </c>
      <c r="K163" s="8">
        <f t="shared" si="20"/>
        <v>-5302.5100000000075</v>
      </c>
      <c r="L163" s="8">
        <f t="shared" si="20"/>
        <v>188846.75000000003</v>
      </c>
      <c r="M163" s="8">
        <f t="shared" si="20"/>
        <v>153803.97000000003</v>
      </c>
      <c r="N163" s="8">
        <f t="shared" si="20"/>
        <v>36995.980245553845</v>
      </c>
      <c r="O163" s="8">
        <f t="shared" si="20"/>
        <v>233563.39557235385</v>
      </c>
      <c r="Q163" s="8">
        <f>IFERROR(+Q76-Q79+Q161, 0)</f>
        <v>852944.65581790823</v>
      </c>
    </row>
    <row r="164" spans="1:17" s="6" customFormat="1" x14ac:dyDescent="0.25">
      <c r="B164" s="16"/>
      <c r="C164" s="16"/>
      <c r="D164" s="4">
        <f t="shared" ref="D164:O164" si="21">IFERROR(D163/D10, 0)</f>
        <v>0.9924814976837848</v>
      </c>
      <c r="E164" s="4">
        <f t="shared" si="21"/>
        <v>0.16890320317404106</v>
      </c>
      <c r="F164" s="4">
        <f t="shared" si="21"/>
        <v>-0.20807403407069291</v>
      </c>
      <c r="G164" s="4">
        <f t="shared" si="21"/>
        <v>2.8825063482380265E-3</v>
      </c>
      <c r="H164" s="4">
        <f t="shared" si="21"/>
        <v>4.5683908109232389E-2</v>
      </c>
      <c r="I164" s="4">
        <f t="shared" si="21"/>
        <v>0.11911081084304376</v>
      </c>
      <c r="J164" s="4">
        <f t="shared" si="21"/>
        <v>7.608858262632387E-2</v>
      </c>
      <c r="K164" s="4">
        <f t="shared" si="21"/>
        <v>-4.4071817686226103E-2</v>
      </c>
      <c r="L164" s="4">
        <f t="shared" si="21"/>
        <v>1.1324957018694688</v>
      </c>
      <c r="M164" s="4">
        <f t="shared" si="21"/>
        <v>0.37594529897549245</v>
      </c>
      <c r="N164" s="4">
        <f t="shared" si="21"/>
        <v>0.17200712394019937</v>
      </c>
      <c r="O164" s="4">
        <f t="shared" si="21"/>
        <v>1.3278116416186028</v>
      </c>
      <c r="P164" s="18"/>
      <c r="Q164" s="4">
        <f>IFERROR(Q163/Q10, 0)</f>
        <v>0.37443051188494891</v>
      </c>
    </row>
    <row r="165" spans="1:17" x14ac:dyDescent="0.25">
      <c r="A165" s="5"/>
      <c r="B165" s="6"/>
      <c r="C165" s="5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s="15" customFormat="1" x14ac:dyDescent="0.25">
      <c r="A166" s="25"/>
      <c r="B166" s="6" t="s">
        <v>125</v>
      </c>
      <c r="C166" s="6"/>
      <c r="D166" s="3">
        <v>88847.32</v>
      </c>
      <c r="E166" s="3">
        <v>-6819.83</v>
      </c>
      <c r="F166" s="3">
        <v>29052.76</v>
      </c>
      <c r="G166" s="3">
        <v>43807.9</v>
      </c>
      <c r="H166" s="3">
        <v>-25246.720000000001</v>
      </c>
      <c r="I166" s="3">
        <v>66763.31</v>
      </c>
      <c r="J166" s="3">
        <v>19759.310000000001</v>
      </c>
      <c r="K166" s="3">
        <v>43486.22</v>
      </c>
      <c r="L166" s="3">
        <v>44928.43</v>
      </c>
      <c r="M166" s="3">
        <v>90188</v>
      </c>
      <c r="N166" s="3">
        <v>97127</v>
      </c>
      <c r="O166" s="3">
        <v>81192</v>
      </c>
      <c r="Q166" s="2">
        <f>SUM(OSRRefD28_0x)+IFERROR(SUM(OSRRefE28_0x),0)</f>
        <v>573085.69999999995</v>
      </c>
    </row>
    <row r="167" spans="1:17" x14ac:dyDescent="0.25">
      <c r="A167" s="5"/>
      <c r="B167" s="6"/>
      <c r="C167" s="6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Q167" s="3"/>
    </row>
    <row r="168" spans="1:17" s="15" customFormat="1" ht="15.75" thickBot="1" x14ac:dyDescent="0.3">
      <c r="A168" s="6"/>
      <c r="B168" s="17" t="s">
        <v>124</v>
      </c>
      <c r="C168" s="17"/>
      <c r="D168" s="7">
        <f t="shared" ref="D168:O168" si="22">IFERROR(+D163-D166, 0)</f>
        <v>84619.409999999974</v>
      </c>
      <c r="E168" s="7">
        <f t="shared" si="22"/>
        <v>59358.579999999929</v>
      </c>
      <c r="F168" s="7">
        <f t="shared" si="22"/>
        <v>-52724.960000000036</v>
      </c>
      <c r="G168" s="7">
        <f t="shared" si="22"/>
        <v>-43475.229999999981</v>
      </c>
      <c r="H168" s="7">
        <f t="shared" si="22"/>
        <v>29853.970000000038</v>
      </c>
      <c r="I168" s="7">
        <f t="shared" si="22"/>
        <v>-41195.86000000003</v>
      </c>
      <c r="J168" s="7">
        <f t="shared" si="22"/>
        <v>-7562.8899999998939</v>
      </c>
      <c r="K168" s="7">
        <f t="shared" si="22"/>
        <v>-48788.73000000001</v>
      </c>
      <c r="L168" s="7">
        <f t="shared" si="22"/>
        <v>143918.32000000004</v>
      </c>
      <c r="M168" s="7">
        <f t="shared" si="22"/>
        <v>63615.97000000003</v>
      </c>
      <c r="N168" s="7">
        <f t="shared" si="22"/>
        <v>-60131.019754446155</v>
      </c>
      <c r="O168" s="7">
        <f t="shared" si="22"/>
        <v>152371.39557235385</v>
      </c>
      <c r="Q168" s="7">
        <f>IFERROR(+Q163-Q166, 0)</f>
        <v>279858.95581790828</v>
      </c>
    </row>
    <row r="169" spans="1:17" ht="15.75" thickTop="1" x14ac:dyDescent="0.25">
      <c r="A169" s="5"/>
      <c r="B169" s="5"/>
      <c r="C169" s="5"/>
      <c r="D169" s="4">
        <f t="shared" ref="D169:O169" si="23">IFERROR(D168/D10, 0)</f>
        <v>0.48414585765188645</v>
      </c>
      <c r="E169" s="4">
        <f t="shared" si="23"/>
        <v>0.19082780419904494</v>
      </c>
      <c r="F169" s="4">
        <f t="shared" si="23"/>
        <v>-0.46344214409374329</v>
      </c>
      <c r="G169" s="4">
        <f t="shared" si="23"/>
        <v>-0.3767025174079397</v>
      </c>
      <c r="H169" s="4">
        <f t="shared" si="23"/>
        <v>0.29602170973482489</v>
      </c>
      <c r="I169" s="4">
        <f t="shared" si="23"/>
        <v>-0.19191872040334579</v>
      </c>
      <c r="J169" s="4">
        <f t="shared" si="23"/>
        <v>-4.7181843578589892E-2</v>
      </c>
      <c r="K169" s="4">
        <f t="shared" si="23"/>
        <v>-0.40550758295646921</v>
      </c>
      <c r="L169" s="4">
        <f t="shared" si="23"/>
        <v>0.86306425088212968</v>
      </c>
      <c r="M169" s="4">
        <f t="shared" si="23"/>
        <v>0.15549744822104375</v>
      </c>
      <c r="N169" s="4">
        <f t="shared" si="23"/>
        <v>-0.27956993432540844</v>
      </c>
      <c r="O169" s="4">
        <f t="shared" si="23"/>
        <v>0.86623382227704138</v>
      </c>
      <c r="P169" s="18"/>
      <c r="Q169" s="4">
        <f>IFERROR(Q168/Q10, 0)</f>
        <v>0.12285408129089376</v>
      </c>
    </row>
    <row r="170" spans="1:17" x14ac:dyDescent="0.25">
      <c r="A170" s="5"/>
      <c r="B170" s="5"/>
      <c r="C170" s="5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</row>
    <row r="171" spans="1:17" x14ac:dyDescent="0.25">
      <c r="A171" s="5"/>
      <c r="B171" s="5"/>
      <c r="C171" s="5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Q171" s="3"/>
    </row>
    <row r="172" spans="1:17" s="15" customFormat="1" ht="15.75" thickBot="1" x14ac:dyDescent="0.3">
      <c r="A172" s="6"/>
      <c r="B172" s="17" t="s">
        <v>292</v>
      </c>
      <c r="C172" s="17"/>
      <c r="D172" s="7">
        <f t="shared" ref="D172:O172" si="24">IFERROR(SUM(D168:D171), 0)</f>
        <v>84619.89414585763</v>
      </c>
      <c r="E172" s="7">
        <f t="shared" si="24"/>
        <v>59358.770827804125</v>
      </c>
      <c r="F172" s="7">
        <f t="shared" si="24"/>
        <v>-52725.423442144129</v>
      </c>
      <c r="G172" s="7">
        <f t="shared" si="24"/>
        <v>-43475.606702517391</v>
      </c>
      <c r="H172" s="7">
        <f t="shared" si="24"/>
        <v>29854.266021709773</v>
      </c>
      <c r="I172" s="7">
        <f t="shared" si="24"/>
        <v>-41196.051918720434</v>
      </c>
      <c r="J172" s="7">
        <f t="shared" si="24"/>
        <v>-7562.9371818434729</v>
      </c>
      <c r="K172" s="7">
        <f t="shared" si="24"/>
        <v>-48789.135507582963</v>
      </c>
      <c r="L172" s="7">
        <f t="shared" si="24"/>
        <v>143919.18306425092</v>
      </c>
      <c r="M172" s="7">
        <f t="shared" si="24"/>
        <v>63616.125497448251</v>
      </c>
      <c r="N172" s="7">
        <f t="shared" si="24"/>
        <v>-60131.299324380481</v>
      </c>
      <c r="O172" s="7">
        <f t="shared" si="24"/>
        <v>152372.26180617613</v>
      </c>
      <c r="Q172" s="7">
        <f>IFERROR(SUM(Q168:Q171), 0)</f>
        <v>279859.07867198956</v>
      </c>
    </row>
    <row r="173" spans="1:17" ht="15.75" thickTop="1" x14ac:dyDescent="0.25">
      <c r="A173" s="5"/>
      <c r="C173" s="5"/>
      <c r="D173" s="4">
        <f t="shared" ref="D173:O173" si="25">IFERROR(D172/D10, 0)</f>
        <v>0.48414862766897215</v>
      </c>
      <c r="E173" s="4">
        <f t="shared" si="25"/>
        <v>0.19082841767818906</v>
      </c>
      <c r="F173" s="4">
        <f t="shared" si="25"/>
        <v>-0.4634462176600565</v>
      </c>
      <c r="G173" s="4">
        <f t="shared" si="25"/>
        <v>-0.37670578144556804</v>
      </c>
      <c r="H173" s="4">
        <f t="shared" si="25"/>
        <v>0.29602464498439585</v>
      </c>
      <c r="I173" s="4">
        <f t="shared" si="25"/>
        <v>-0.19191961449307329</v>
      </c>
      <c r="J173" s="4">
        <f t="shared" si="25"/>
        <v>-4.7182137927226919E-2</v>
      </c>
      <c r="K173" s="4">
        <f t="shared" si="25"/>
        <v>-0.40551095333319009</v>
      </c>
      <c r="L173" s="4">
        <f t="shared" si="25"/>
        <v>0.8630694265950003</v>
      </c>
      <c r="M173" s="4">
        <f t="shared" si="25"/>
        <v>0.15549782830573636</v>
      </c>
      <c r="N173" s="4">
        <f t="shared" si="25"/>
        <v>-0.27957123414284873</v>
      </c>
      <c r="O173" s="4">
        <f t="shared" si="25"/>
        <v>0.86623874683018365</v>
      </c>
      <c r="P173" s="18"/>
      <c r="Q173" s="4">
        <f>IFERROR(Q172/Q10, 0)</f>
        <v>0.12285413522207936</v>
      </c>
    </row>
    <row r="174" spans="1:17" x14ac:dyDescent="0.25">
      <c r="A174" s="5"/>
      <c r="B174" s="27">
        <v>44330.012707094909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Q174" s="13"/>
    </row>
    <row r="175" spans="1:17" x14ac:dyDescent="0.25">
      <c r="A175" s="5"/>
      <c r="B175" s="31" t="s">
        <v>54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Q175" s="13"/>
    </row>
    <row r="176" spans="1:17" x14ac:dyDescent="0.25">
      <c r="A176" s="5"/>
      <c r="B176" s="26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Q176" s="13"/>
    </row>
    <row r="177" spans="4:17" x14ac:dyDescent="0.25"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Q17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6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","315", " - ", "Beach Shop")</f>
        <v>Department 315 - Beach Shop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SUM(OSRRefD11x_7)</f>
        <v>99746.989999999991</v>
      </c>
      <c r="L10" s="3">
        <f>SUM(OSRRefD11x_8)</f>
        <v>142705.22999999998</v>
      </c>
      <c r="M10" s="3">
        <f>SUM(OSRRefD11x_9)</f>
        <v>366093.7199999998</v>
      </c>
      <c r="N10" s="3">
        <f>SUM(OSRRefE11x_0)</f>
        <v>179561</v>
      </c>
      <c r="O10" s="3">
        <f>SUM(OSRRefE11x_1)</f>
        <v>139026</v>
      </c>
      <c r="P10" s="24"/>
      <c r="Q10" s="3">
        <f>SUM(OSRRefG11x)</f>
        <v>1954275.6699999992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f>-6379.2</f>
        <v>-6379.2</v>
      </c>
      <c r="L11" s="2">
        <f>-10801.86</f>
        <v>-10801.86</v>
      </c>
      <c r="M11" s="2">
        <f>-12462.04</f>
        <v>-12462.04</v>
      </c>
      <c r="N11" s="2">
        <v>179561</v>
      </c>
      <c r="O11" s="2">
        <v>139026</v>
      </c>
      <c r="Q11" s="2">
        <f>SUM(OSRRefD11_0x)+IFERROR(SUM(OSRRefE11_0x),0)</f>
        <v>201168.74</v>
      </c>
    </row>
    <row r="12" spans="1:18" s="9" customFormat="1" hidden="1" outlineLevel="1" x14ac:dyDescent="0.25">
      <c r="A12" s="23"/>
      <c r="B12" s="10" t="str">
        <f>CONCATENATE("          ","4026", " - ","TAXABLE SALES-WRITING INSTRUME")</f>
        <v xml:space="preserve">          4026 - TAXABLE SALES-WRITING INSTRUME</v>
      </c>
      <c r="C12" s="22"/>
      <c r="D12" s="2">
        <f>--221.99</f>
        <v>221.99</v>
      </c>
      <c r="E12" s="2">
        <f t="shared" ref="E12:M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25">
      <c r="A13" s="23"/>
      <c r="B13" s="10" t="str">
        <f>CONCATENATE("          ","4027", " - ","TAXABLE SALES-SCHOOL SUPPLIES")</f>
        <v xml:space="preserve">          4027 - TAXABLE SALES-SCHOOL SUPPLIES</v>
      </c>
      <c r="C13" s="22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>
        <f>--5765.33</f>
        <v>5765.33</v>
      </c>
      <c r="L13" s="2">
        <f>--2968.83</f>
        <v>2968.83</v>
      </c>
      <c r="M13" s="2">
        <f>--6537.78</f>
        <v>6537.78</v>
      </c>
      <c r="N13" s="2"/>
      <c r="O13" s="2"/>
      <c r="Q13" s="2">
        <f>SUM(OSRRefD11_2x)+IFERROR(SUM(OSRRefE11_2x),0)</f>
        <v>55666.729999999996</v>
      </c>
    </row>
    <row r="14" spans="1:18" s="9" customFormat="1" hidden="1" outlineLevel="1" x14ac:dyDescent="0.25">
      <c r="A14" s="23"/>
      <c r="B14" s="10" t="str">
        <f>CONCATENATE("          ","4028", " - ","TAXABLE SALES-ART/TECH")</f>
        <v xml:space="preserve">          4028 - TAXABLE SALES-ART/TECH</v>
      </c>
      <c r="C14" s="22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/>
      <c r="O14" s="2"/>
      <c r="Q14" s="2">
        <f>SUM(OSRRefD11_3x)+IFERROR(SUM(OSRRefE11_3x),0)</f>
        <v>34391.879999999997</v>
      </c>
    </row>
    <row r="15" spans="1:18" s="9" customFormat="1" hidden="1" outlineLevel="1" x14ac:dyDescent="0.25">
      <c r="A15" s="23"/>
      <c r="B15" s="10" t="str">
        <f>CONCATENATE("          ","4031", " - ","TAXABLE SALES-FOOD")</f>
        <v xml:space="preserve">          4031 - TAXABLE SALES-FOOD</v>
      </c>
      <c r="C15" s="22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/>
      <c r="O15" s="2"/>
      <c r="Q15" s="2">
        <f>SUM(OSRRefD11_4x)+IFERROR(SUM(OSRRefE11_4x),0)</f>
        <v>3836.04</v>
      </c>
    </row>
    <row r="16" spans="1:18" s="9" customFormat="1" hidden="1" outlineLevel="1" x14ac:dyDescent="0.25">
      <c r="A16" s="23"/>
      <c r="B16" s="10" t="str">
        <f>CONCATENATE("          ","4034", " - ","TAXABLE SALES-SODA")</f>
        <v xml:space="preserve">          4034 - TAXABLE SALES-SODA</v>
      </c>
      <c r="C16" s="22"/>
      <c r="D16" s="2">
        <f>--6.78</f>
        <v>6.78</v>
      </c>
      <c r="E16" s="2">
        <f t="shared" ref="E16:M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3"/>
      <c r="B17" s="10" t="str">
        <f>CONCATENATE("          ","4040", " - ","TAXABLE SALES-LOGO CLOTHING")</f>
        <v xml:space="preserve">          4040 - TAXABLE SALES-LOGO CLOTHING</v>
      </c>
      <c r="C17" s="22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>
        <f>--55485.96</f>
        <v>55485.96</v>
      </c>
      <c r="L17" s="2">
        <f>--62935.57</f>
        <v>62935.57</v>
      </c>
      <c r="M17" s="2">
        <f>--120917.64</f>
        <v>120917.64</v>
      </c>
      <c r="N17" s="2"/>
      <c r="O17" s="2"/>
      <c r="Q17" s="2">
        <f>SUM(OSRRefD11_6x)+IFERROR(SUM(OSRRefE11_6x),0)</f>
        <v>701461.14999999991</v>
      </c>
    </row>
    <row r="18" spans="1:17" s="9" customFormat="1" hidden="1" outlineLevel="1" x14ac:dyDescent="0.25">
      <c r="A18" s="23"/>
      <c r="B18" s="10" t="str">
        <f>CONCATENATE("          ","4041", " - ","TAXABLE SALES-LOGO GIFTS")</f>
        <v xml:space="preserve">          4041 - TAXABLE SALES-LOGO GIFTS</v>
      </c>
      <c r="C18" s="22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>
        <f>--20923.68</f>
        <v>20923.68</v>
      </c>
      <c r="L18" s="2">
        <f>--44302.47</f>
        <v>44302.47</v>
      </c>
      <c r="M18" s="2">
        <f>--111502.01</f>
        <v>111502.01</v>
      </c>
      <c r="N18" s="2"/>
      <c r="O18" s="2"/>
      <c r="Q18" s="2">
        <f>SUM(OSRRefD11_7x)+IFERROR(SUM(OSRRefE11_7x),0)</f>
        <v>316023.48</v>
      </c>
    </row>
    <row r="19" spans="1:17" s="9" customFormat="1" hidden="1" outlineLevel="1" x14ac:dyDescent="0.25">
      <c r="A19" s="23"/>
      <c r="B19" s="10" t="str">
        <f>CONCATENATE("          ","4042", " - ","TAXABLE SALES-EVERYDAY GIFTS")</f>
        <v xml:space="preserve">          4042 - TAXABLE SALES-EVERYDAY GIFTS</v>
      </c>
      <c r="C19" s="22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>
        <f>--3907.64</f>
        <v>3907.64</v>
      </c>
      <c r="L19" s="2">
        <f>--9072.61</f>
        <v>9072.61</v>
      </c>
      <c r="M19" s="2">
        <f>--8378.21</f>
        <v>8378.2099999999991</v>
      </c>
      <c r="N19" s="2"/>
      <c r="O19" s="2"/>
      <c r="Q19" s="2">
        <f>SUM(OSRRefD11_8x)+IFERROR(SUM(OSRRefE11_8x),0)</f>
        <v>74387.429999999993</v>
      </c>
    </row>
    <row r="20" spans="1:17" s="9" customFormat="1" hidden="1" outlineLevel="1" x14ac:dyDescent="0.25">
      <c r="A20" s="23"/>
      <c r="B20" s="10" t="str">
        <f>CONCATENATE("          ","4043", " - ","TAXABLE SALES-CARDS")</f>
        <v xml:space="preserve">          4043 - TAXABLE SALES-CARDS</v>
      </c>
      <c r="C20" s="22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>
        <f>--4840.69</f>
        <v>4840.6899999999996</v>
      </c>
      <c r="L20" s="2">
        <f>--7137.65</f>
        <v>7137.65</v>
      </c>
      <c r="M20" s="2">
        <f>--4165.86</f>
        <v>4165.8599999999997</v>
      </c>
      <c r="N20" s="2"/>
      <c r="O20" s="2"/>
      <c r="Q20" s="2">
        <f>SUM(OSRRefD11_9x)+IFERROR(SUM(OSRRefE11_9x),0)</f>
        <v>125859.45</v>
      </c>
    </row>
    <row r="21" spans="1:17" s="9" customFormat="1" hidden="1" outlineLevel="1" x14ac:dyDescent="0.25">
      <c r="A21" s="23"/>
      <c r="B21" s="10" t="str">
        <f>CONCATENATE("          ","4044", " - ","TAXABLE SALES-ACCESSORIES")</f>
        <v xml:space="preserve">          4044 - TAXABLE SALES-ACCESSORIES</v>
      </c>
      <c r="C21" s="22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>
        <f>--1799.2</f>
        <v>1799.2</v>
      </c>
      <c r="L21" s="2">
        <f>--1633.81</f>
        <v>1633.81</v>
      </c>
      <c r="M21" s="2">
        <f>--4255.52</f>
        <v>4255.5200000000004</v>
      </c>
      <c r="N21" s="2"/>
      <c r="O21" s="2"/>
      <c r="Q21" s="2">
        <f>SUM(OSRRefD11_10x)+IFERROR(SUM(OSRRefE11_10x),0)</f>
        <v>33290.979999999996</v>
      </c>
    </row>
    <row r="22" spans="1:17" s="9" customFormat="1" hidden="1" outlineLevel="1" x14ac:dyDescent="0.25">
      <c r="A22" s="23"/>
      <c r="B22" s="10" t="str">
        <f>CONCATENATE("          ","4045", " - ","TAXABLE SALES-SPECIAL ORDERS")</f>
        <v xml:space="preserve">          4045 - TAXABLE SALES-SPECIAL ORDERS</v>
      </c>
      <c r="C22" s="22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/>
      <c r="O22" s="2"/>
      <c r="Q22" s="2">
        <f>SUM(OSRRefD11_11x)+IFERROR(SUM(OSRRefE11_11x),0)</f>
        <v>206915.97</v>
      </c>
    </row>
    <row r="23" spans="1:17" s="9" customFormat="1" hidden="1" outlineLevel="1" x14ac:dyDescent="0.25">
      <c r="A23" s="23"/>
      <c r="B23" s="10" t="str">
        <f>CONCATENATE("          ","4126", " - ","NON-TAXABLE SALES-WRITING INST")</f>
        <v xml:space="preserve">          4126 - NON-TAXABLE SALES-WRITING INST</v>
      </c>
      <c r="C23" s="22"/>
      <c r="D23" s="2">
        <f>--52.68</f>
        <v>52.68</v>
      </c>
      <c r="E23" s="2">
        <f t="shared" ref="E23:M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>
        <f t="shared" si="3"/>
        <v>0</v>
      </c>
      <c r="M23" s="2">
        <f t="shared" si="3"/>
        <v>0</v>
      </c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3"/>
      <c r="B24" s="10" t="str">
        <f>CONCATENATE("          ","4127", " - ","NON-TAXABLE SALES-SCHOOL SUPPL")</f>
        <v xml:space="preserve">          4127 - NON-TAXABLE SALES-SCHOOL SUPPL</v>
      </c>
      <c r="C24" s="22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/>
      <c r="O24" s="2"/>
      <c r="Q24" s="2">
        <f>SUM(OSRRefD11_13x)+IFERROR(SUM(OSRRefE11_13x),0)</f>
        <v>7100.6799999999994</v>
      </c>
    </row>
    <row r="25" spans="1:17" s="9" customFormat="1" hidden="1" outlineLevel="1" x14ac:dyDescent="0.25">
      <c r="A25" s="23"/>
      <c r="B25" s="10" t="str">
        <f>CONCATENATE("          ","4128", " - ","NON-TAXABLE SALES-ART/TECH")</f>
        <v xml:space="preserve">          4128 - NON-TAXABLE SALES-ART/TECH</v>
      </c>
      <c r="C25" s="22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/>
      <c r="O25" s="2"/>
      <c r="Q25" s="2">
        <f>SUM(OSRRefD11_14x)+IFERROR(SUM(OSRRefE11_14x),0)</f>
        <v>69.95</v>
      </c>
    </row>
    <row r="26" spans="1:17" s="9" customFormat="1" hidden="1" outlineLevel="1" x14ac:dyDescent="0.25">
      <c r="A26" s="23"/>
      <c r="B26" s="10" t="str">
        <f>CONCATENATE("          ","4131", " - ","NON-TAXABLE SALES-FOOD")</f>
        <v xml:space="preserve">          4131 - NON-TAXABLE SALES-FOOD</v>
      </c>
      <c r="C26" s="22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>
        <f>--930.38</f>
        <v>930.38</v>
      </c>
      <c r="L26" s="2">
        <f>--826.28</f>
        <v>826.28</v>
      </c>
      <c r="M26" s="2">
        <f>--960.93</f>
        <v>960.93</v>
      </c>
      <c r="N26" s="2"/>
      <c r="O26" s="2"/>
      <c r="Q26" s="2">
        <f>SUM(OSRRefD11_15x)+IFERROR(SUM(OSRRefE11_15x),0)</f>
        <v>9473.2000000000007</v>
      </c>
    </row>
    <row r="27" spans="1:17" s="9" customFormat="1" hidden="1" outlineLevel="1" x14ac:dyDescent="0.25">
      <c r="A27" s="23"/>
      <c r="B27" s="10" t="str">
        <f>CONCATENATE("          ","4132", " - ","NON-TAXABLE SALES-JUICE")</f>
        <v xml:space="preserve">          4132 - NON-TAXABLE SALES-JUICE</v>
      </c>
      <c r="C27" s="22"/>
      <c r="D27" s="2">
        <f>--22.49</f>
        <v>22.49</v>
      </c>
      <c r="E27" s="2">
        <f t="shared" ref="E27:M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>
        <f t="shared" si="5"/>
        <v>0</v>
      </c>
      <c r="L27" s="2">
        <f t="shared" si="5"/>
        <v>0</v>
      </c>
      <c r="M27" s="2">
        <f t="shared" si="5"/>
        <v>0</v>
      </c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3"/>
      <c r="B28" s="10" t="str">
        <f>CONCATENATE("          ","4133", " - ","NON-TAXABLE SALES-CANDY")</f>
        <v xml:space="preserve">          4133 - NON-TAXABLE SALES-CANDY</v>
      </c>
      <c r="C28" s="22"/>
      <c r="D28" s="2">
        <f>--68.28</f>
        <v>68.28</v>
      </c>
      <c r="E28" s="2">
        <f>--12.43</f>
        <v>12.43</v>
      </c>
      <c r="F28" s="2">
        <f t="shared" ref="F28:M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>
        <f t="shared" si="6"/>
        <v>0</v>
      </c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3"/>
      <c r="B29" s="10" t="str">
        <f>CONCATENATE("          ","4134", " - ","NON-TAXABLE SALES-SODA")</f>
        <v xml:space="preserve">          4134 - NON-TAXABLE SALES-SODA</v>
      </c>
      <c r="C29" s="22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>
        <f t="shared" si="6"/>
        <v>0</v>
      </c>
      <c r="L29" s="2">
        <f t="shared" si="6"/>
        <v>0</v>
      </c>
      <c r="M29" s="2">
        <f t="shared" si="6"/>
        <v>0</v>
      </c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3"/>
      <c r="B30" s="10" t="str">
        <f>CONCATENATE("          ","4137", " - ","NON-TAXABLE SALES-WATER")</f>
        <v xml:space="preserve">          4137 - NON-TAXABLE SALES-WATER</v>
      </c>
      <c r="C30" s="22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>
        <f t="shared" si="6"/>
        <v>0</v>
      </c>
      <c r="M30" s="2">
        <f t="shared" si="6"/>
        <v>0</v>
      </c>
      <c r="N30" s="2"/>
      <c r="O30" s="2"/>
      <c r="Q30" s="2">
        <f>SUM(OSRRefD11_19x)+IFERROR(SUM(OSRRefE11_19x),0)</f>
        <v>59.25</v>
      </c>
    </row>
    <row r="31" spans="1:17" s="9" customFormat="1" hidden="1" outlineLevel="1" x14ac:dyDescent="0.25">
      <c r="A31" s="23"/>
      <c r="B31" s="10" t="str">
        <f>CONCATENATE("          ","4140", " - ","NON-TAXABLE SALES-LOGO CLOTHIN")</f>
        <v xml:space="preserve">          4140 - NON-TAXABLE SALES-LOGO CLOTHIN</v>
      </c>
      <c r="C31" s="22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--16592.7</f>
        <v>16592.7</v>
      </c>
      <c r="M31" s="2">
        <f>--22915.85</f>
        <v>22915.85</v>
      </c>
      <c r="N31" s="2"/>
      <c r="O31" s="2"/>
      <c r="Q31" s="2">
        <f>SUM(OSRRefD11_20x)+IFERROR(SUM(OSRRefE11_20x),0)</f>
        <v>154468.05000000002</v>
      </c>
    </row>
    <row r="32" spans="1:17" s="9" customFormat="1" hidden="1" outlineLevel="1" x14ac:dyDescent="0.25">
      <c r="A32" s="23"/>
      <c r="B32" s="10" t="str">
        <f>CONCATENATE("          ","4141", " - ","NON-TAXABLE SALES-LOGO GIFTS")</f>
        <v xml:space="preserve">          4141 - NON-TAXABLE SALES-LOGO GIFTS</v>
      </c>
      <c r="C32" s="22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/>
      <c r="O32" s="2"/>
      <c r="Q32" s="2">
        <f>SUM(OSRRefD11_21x)+IFERROR(SUM(OSRRefE11_21x),0)</f>
        <v>35517.57</v>
      </c>
    </row>
    <row r="33" spans="1:17" s="9" customFormat="1" hidden="1" outlineLevel="1" x14ac:dyDescent="0.25">
      <c r="A33" s="23"/>
      <c r="B33" s="10" t="str">
        <f>CONCATENATE("          ","4142", " - ","NON-TAXABLE SALES-EVERYDAY GIF")</f>
        <v xml:space="preserve">          4142 - NON-TAXABLE SALES-EVERYDAY GIF</v>
      </c>
      <c r="C33" s="22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/>
      <c r="O33" s="2"/>
      <c r="Q33" s="2">
        <f>SUM(OSRRefD11_22x)+IFERROR(SUM(OSRRefE11_22x),0)</f>
        <v>1455.4099999999999</v>
      </c>
    </row>
    <row r="34" spans="1:17" s="9" customFormat="1" hidden="1" outlineLevel="1" x14ac:dyDescent="0.25">
      <c r="A34" s="23"/>
      <c r="B34" s="10" t="str">
        <f>CONCATENATE("          ","4143", " - ","NON-TAXABLE SALES-CARDS")</f>
        <v xml:space="preserve">          4143 - NON-TAXABLE SALES-CARDS</v>
      </c>
      <c r="C34" s="22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/>
      <c r="O34" s="2"/>
      <c r="Q34" s="2">
        <f>SUM(OSRRefD11_23x)+IFERROR(SUM(OSRRefE11_23x),0)</f>
        <v>2431.4499999999998</v>
      </c>
    </row>
    <row r="35" spans="1:17" s="9" customFormat="1" hidden="1" outlineLevel="1" x14ac:dyDescent="0.25">
      <c r="A35" s="23"/>
      <c r="B35" s="10" t="str">
        <f>CONCATENATE("          ","4144", " - ","NON-TAXABLE SALES-ACCESSORIES")</f>
        <v xml:space="preserve">          4144 - NON-TAXABLE SALES-ACCESSORIES</v>
      </c>
      <c r="C35" s="22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/>
      <c r="O35" s="2"/>
      <c r="Q35" s="2">
        <f>SUM(OSRRefD11_24x)+IFERROR(SUM(OSRRefE11_24x),0)</f>
        <v>709.1</v>
      </c>
    </row>
    <row r="36" spans="1:17" s="9" customFormat="1" hidden="1" outlineLevel="1" x14ac:dyDescent="0.25">
      <c r="A36" s="23"/>
      <c r="B36" s="10" t="str">
        <f>CONCATENATE("          ","4145", " - ","NON-TAXABLE SALES-SPECIAL ORDE")</f>
        <v xml:space="preserve">          4145 - NON-TAXABLE SALES-SPECIAL ORDE</v>
      </c>
      <c r="C36" s="22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10">0</f>
        <v>0</v>
      </c>
      <c r="L36" s="2">
        <f t="shared" si="10"/>
        <v>0</v>
      </c>
      <c r="M36" s="2">
        <f>--20350.8</f>
        <v>20350.8</v>
      </c>
      <c r="N36" s="2"/>
      <c r="O36" s="2"/>
      <c r="Q36" s="2">
        <f>SUM(OSRRefD11_25x)+IFERROR(SUM(OSRRefE11_25x),0)</f>
        <v>74059.89</v>
      </c>
    </row>
    <row r="37" spans="1:17" s="9" customFormat="1" hidden="1" outlineLevel="1" x14ac:dyDescent="0.25">
      <c r="A37" s="23"/>
      <c r="B37" s="10" t="str">
        <f>CONCATENATE("          ","4226", " - ","SALES RETURN TAXABLE-WRITING I")</f>
        <v xml:space="preserve">          4226 - SALES RETURN TAXABLE-WRITING I</v>
      </c>
      <c r="C37" s="22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1">0</f>
        <v>0</v>
      </c>
      <c r="I37" s="2">
        <f t="shared" si="11"/>
        <v>0</v>
      </c>
      <c r="J37" s="2">
        <f t="shared" si="11"/>
        <v>0</v>
      </c>
      <c r="K37" s="2">
        <f t="shared" si="10"/>
        <v>0</v>
      </c>
      <c r="L37" s="2">
        <f t="shared" si="10"/>
        <v>0</v>
      </c>
      <c r="M37" s="2">
        <f>0</f>
        <v>0</v>
      </c>
      <c r="N37" s="2"/>
      <c r="O37" s="2"/>
      <c r="Q37" s="2">
        <f>SUM(OSRRefD11_26x)+IFERROR(SUM(OSRRefE11_26x),0)</f>
        <v>-6.38</v>
      </c>
    </row>
    <row r="38" spans="1:17" s="9" customFormat="1" hidden="1" outlineLevel="1" x14ac:dyDescent="0.25">
      <c r="A38" s="23"/>
      <c r="B38" s="10" t="str">
        <f>CONCATENATE("          ","4227", " - ","SALES RETURN TAXABLE-SCHOOL SU")</f>
        <v xml:space="preserve">          4227 - SALES RETURN TAXABLE-SCHOOL SU</v>
      </c>
      <c r="C38" s="22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>
        <f>-19.05</f>
        <v>-19.05</v>
      </c>
      <c r="L38" s="2">
        <f>-64.39</f>
        <v>-64.39</v>
      </c>
      <c r="M38" s="2">
        <f>-500.54</f>
        <v>-500.54</v>
      </c>
      <c r="N38" s="2"/>
      <c r="O38" s="2"/>
      <c r="Q38" s="2">
        <f>SUM(OSRRefD11_27x)+IFERROR(SUM(OSRRefE11_27x),0)</f>
        <v>-1143.48</v>
      </c>
    </row>
    <row r="39" spans="1:17" s="9" customFormat="1" hidden="1" outlineLevel="1" x14ac:dyDescent="0.25">
      <c r="A39" s="23"/>
      <c r="B39" s="10" t="str">
        <f>CONCATENATE("          ","4228", " - ","SALES RETURN TAXABLE-ART/TECH")</f>
        <v xml:space="preserve">          4228 - SALES RETURN TAXABLE-ART/TECH</v>
      </c>
      <c r="C39" s="22"/>
      <c r="D39" s="2">
        <f t="shared" ref="D39:G39" si="12">0</f>
        <v>0</v>
      </c>
      <c r="E39" s="2">
        <f t="shared" si="12"/>
        <v>0</v>
      </c>
      <c r="F39" s="2">
        <f t="shared" si="12"/>
        <v>0</v>
      </c>
      <c r="G39" s="2">
        <f t="shared" si="12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/>
      <c r="O39" s="2"/>
      <c r="Q39" s="2">
        <f>SUM(OSRRefD11_28x)+IFERROR(SUM(OSRRefE11_28x),0)</f>
        <v>-12751.529999999999</v>
      </c>
    </row>
    <row r="40" spans="1:17" s="9" customFormat="1" hidden="1" outlineLevel="1" x14ac:dyDescent="0.25">
      <c r="A40" s="23"/>
      <c r="B40" s="10" t="str">
        <f>CONCATENATE("          ","4240", " - ","SALES RETURN TAXABLE-LOGO CLOT")</f>
        <v xml:space="preserve">          4240 - SALES RETURN TAXABLE-LOGO CLOT</v>
      </c>
      <c r="C40" s="22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>
        <f>-2608.69</f>
        <v>-2608.69</v>
      </c>
      <c r="L40" s="2">
        <f>-3309.8</f>
        <v>-3309.8</v>
      </c>
      <c r="M40" s="2">
        <f>-4367.01</f>
        <v>-4367.01</v>
      </c>
      <c r="N40" s="2"/>
      <c r="O40" s="2"/>
      <c r="Q40" s="2">
        <f>SUM(OSRRefD11_29x)+IFERROR(SUM(OSRRefE11_29x),0)</f>
        <v>-31470.04</v>
      </c>
    </row>
    <row r="41" spans="1:17" s="9" customFormat="1" hidden="1" outlineLevel="1" x14ac:dyDescent="0.25">
      <c r="A41" s="23"/>
      <c r="B41" s="10" t="str">
        <f>CONCATENATE("          ","4241", " - ","SALES RETURN TAXABLE-LOGO GIFT")</f>
        <v xml:space="preserve">          4241 - SALES RETURN TAXABLE-LOGO GIFT</v>
      </c>
      <c r="C41" s="22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>
        <f>-226.3</f>
        <v>-226.3</v>
      </c>
      <c r="L41" s="2">
        <f>-1043.03</f>
        <v>-1043.03</v>
      </c>
      <c r="M41" s="2">
        <f>-5548.21</f>
        <v>-5548.21</v>
      </c>
      <c r="N41" s="2"/>
      <c r="O41" s="2"/>
      <c r="Q41" s="2">
        <f>SUM(OSRRefD11_30x)+IFERROR(SUM(OSRRefE11_30x),0)</f>
        <v>-10241.549999999999</v>
      </c>
    </row>
    <row r="42" spans="1:17" s="9" customFormat="1" hidden="1" outlineLevel="1" x14ac:dyDescent="0.25">
      <c r="A42" s="23"/>
      <c r="B42" s="10" t="str">
        <f>CONCATENATE("          ","4242", " - ","SALES RETURN TAXABLE-EVERYDAY")</f>
        <v xml:space="preserve">          4242 - SALES RETURN TAXABLE-EVERYDAY</v>
      </c>
      <c r="C42" s="22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>
        <f>0</f>
        <v>0</v>
      </c>
      <c r="L42" s="2">
        <f>-535.13</f>
        <v>-535.13</v>
      </c>
      <c r="M42" s="2">
        <f>-332.27</f>
        <v>-332.27</v>
      </c>
      <c r="N42" s="2"/>
      <c r="O42" s="2"/>
      <c r="Q42" s="2">
        <f>SUM(OSRRefD11_31x)+IFERROR(SUM(OSRRefE11_31x),0)</f>
        <v>-2310.0299999999997</v>
      </c>
    </row>
    <row r="43" spans="1:17" s="9" customFormat="1" hidden="1" outlineLevel="1" x14ac:dyDescent="0.25">
      <c r="A43" s="23"/>
      <c r="B43" s="10" t="str">
        <f>CONCATENATE("          ","4243", " - ","SALES RETURN TAXABLE-CARDS")</f>
        <v xml:space="preserve">          4243 - SALES RETURN TAXABLE-CARDS</v>
      </c>
      <c r="C43" s="22"/>
      <c r="D43" s="2">
        <f t="shared" ref="D43:D44" si="13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/>
      <c r="O43" s="2"/>
      <c r="Q43" s="2">
        <f>SUM(OSRRefD11_32x)+IFERROR(SUM(OSRRefE11_32x),0)</f>
        <v>-6142.09</v>
      </c>
    </row>
    <row r="44" spans="1:17" s="9" customFormat="1" hidden="1" outlineLevel="1" x14ac:dyDescent="0.25">
      <c r="A44" s="23"/>
      <c r="B44" s="10" t="str">
        <f>CONCATENATE("          ","4244", " - ","SALES RETURN TAXABLE-ACCESSORI")</f>
        <v xml:space="preserve">          4244 - SALES RETURN TAXABLE-ACCESSORI</v>
      </c>
      <c r="C44" s="22"/>
      <c r="D44" s="2">
        <f t="shared" si="13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>
        <f>-9.99</f>
        <v>-9.99</v>
      </c>
      <c r="L44" s="2">
        <f>-227.47</f>
        <v>-227.47</v>
      </c>
      <c r="M44" s="2">
        <f>-8.24</f>
        <v>-8.24</v>
      </c>
      <c r="N44" s="2"/>
      <c r="O44" s="2"/>
      <c r="Q44" s="2">
        <f>SUM(OSRRefD11_33x)+IFERROR(SUM(OSRRefE11_33x),0)</f>
        <v>-1200.6200000000001</v>
      </c>
    </row>
    <row r="45" spans="1:17" s="9" customFormat="1" hidden="1" outlineLevel="1" x14ac:dyDescent="0.25">
      <c r="A45" s="23"/>
      <c r="B45" s="10" t="str">
        <f>CONCATENATE("          ","4245", " - ","SALES RETURN TAXABLE-SPECIAL O")</f>
        <v xml:space="preserve">          4245 - SALES RETURN TAXABLE-SPECIAL O</v>
      </c>
      <c r="C45" s="22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>
        <f>0</f>
        <v>0</v>
      </c>
      <c r="M45" s="2">
        <f>-4071.14</f>
        <v>-4071.14</v>
      </c>
      <c r="N45" s="2"/>
      <c r="O45" s="2"/>
      <c r="Q45" s="2">
        <f>SUM(OSRRefD11_34x)+IFERROR(SUM(OSRRefE11_34x),0)</f>
        <v>-15417.73</v>
      </c>
    </row>
    <row r="46" spans="1:17" s="9" customFormat="1" hidden="1" outlineLevel="1" x14ac:dyDescent="0.25">
      <c r="A46" s="23"/>
      <c r="B46" s="10" t="str">
        <f>CONCATENATE("          ","4340", " - ","SALES RETURN NON TAXABLE-LOGO")</f>
        <v xml:space="preserve">          4340 - SALES RETURN NON TAXABLE-LOGO</v>
      </c>
      <c r="C46" s="22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>
        <f>-350.55</f>
        <v>-350.55</v>
      </c>
      <c r="M46" s="2">
        <f>-664.13</f>
        <v>-664.13</v>
      </c>
      <c r="N46" s="2"/>
      <c r="O46" s="2"/>
      <c r="Q46" s="2">
        <f>SUM(OSRRefD11_35x)+IFERROR(SUM(OSRRefE11_35x),0)</f>
        <v>-3307.5200000000004</v>
      </c>
    </row>
    <row r="47" spans="1:17" s="9" customFormat="1" hidden="1" outlineLevel="1" x14ac:dyDescent="0.25">
      <c r="A47" s="23"/>
      <c r="B47" s="10" t="str">
        <f>CONCATENATE("          ","4341", " - ","SALES RETURN NON TAXABLE-LOGO")</f>
        <v xml:space="preserve">          4341 - SALES RETURN NON TAXABLE-LOGO</v>
      </c>
      <c r="C47" s="22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4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5">0</f>
        <v>0</v>
      </c>
      <c r="L47" s="2">
        <f>-29.9</f>
        <v>-29.9</v>
      </c>
      <c r="M47" s="2">
        <f>-9.9</f>
        <v>-9.9</v>
      </c>
      <c r="N47" s="2"/>
      <c r="O47" s="2"/>
      <c r="Q47" s="2">
        <f>SUM(OSRRefD11_36x)+IFERROR(SUM(OSRRefE11_36x),0)</f>
        <v>-391.23999999999995</v>
      </c>
    </row>
    <row r="48" spans="1:17" s="9" customFormat="1" hidden="1" outlineLevel="1" x14ac:dyDescent="0.25">
      <c r="A48" s="23"/>
      <c r="B48" s="10" t="str">
        <f>CONCATENATE("          ","4342", " - ","SALES RETURN NON TAXABLE-EVERY")</f>
        <v xml:space="preserve">          4342 - SALES RETURN NON TAXABLE-EVERY</v>
      </c>
      <c r="C48" s="22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4"/>
        <v>0</v>
      </c>
      <c r="H48" s="2">
        <f t="shared" ref="H48:J48" si="16">0</f>
        <v>0</v>
      </c>
      <c r="I48" s="2">
        <f t="shared" si="16"/>
        <v>0</v>
      </c>
      <c r="J48" s="2">
        <f t="shared" si="16"/>
        <v>0</v>
      </c>
      <c r="K48" s="2">
        <f t="shared" si="15"/>
        <v>0</v>
      </c>
      <c r="L48" s="2">
        <f t="shared" ref="L48:M48" si="17">0</f>
        <v>0</v>
      </c>
      <c r="M48" s="2">
        <f t="shared" si="17"/>
        <v>0</v>
      </c>
      <c r="N48" s="2"/>
      <c r="O48" s="2"/>
      <c r="Q48" s="2">
        <f>SUM(OSRRefD11_37x)+IFERROR(SUM(OSRRefE11_37x),0)</f>
        <v>-118.7</v>
      </c>
    </row>
    <row r="49" spans="1:17" x14ac:dyDescent="0.2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25">
      <c r="A50" s="23"/>
      <c r="B50" s="16" t="s">
        <v>217</v>
      </c>
      <c r="C50" s="22"/>
      <c r="D50" s="3">
        <f>SUM(OSRRefD14x_0)</f>
        <v>100169.94</v>
      </c>
      <c r="E50" s="3">
        <f>SUM(OSRRefD14x_1)</f>
        <v>171786</v>
      </c>
      <c r="F50" s="3">
        <f>SUM(OSRRefD14x_2)</f>
        <v>59318.600000000013</v>
      </c>
      <c r="G50" s="3">
        <f>SUM(OSRRefD14x_3)</f>
        <v>52899.000000000007</v>
      </c>
      <c r="H50" s="3">
        <f>SUM(OSRRefD14x_4)</f>
        <v>46546</v>
      </c>
      <c r="I50" s="3">
        <f>SUM(OSRRefD14x_5)</f>
        <v>103947.99999999999</v>
      </c>
      <c r="J50" s="3">
        <f>SUM(OSRRefD14x_6)</f>
        <v>75363.999999999985</v>
      </c>
      <c r="K50" s="3">
        <f>SUM(OSRRefD14x_7)</f>
        <v>52970.999999999993</v>
      </c>
      <c r="L50" s="3">
        <f>SUM(OSRRefD14x_8)</f>
        <v>77854</v>
      </c>
      <c r="M50" s="3">
        <f>SUM(OSRRefD14x_9)</f>
        <v>174459</v>
      </c>
      <c r="N50" s="3">
        <f>SUM(OSRRefE14x_0)</f>
        <v>84393</v>
      </c>
      <c r="O50" s="3">
        <f>SUM(OSRRefE14x_1)</f>
        <v>65342</v>
      </c>
      <c r="Q50" s="3">
        <f>SUM(OSRRefG14x)</f>
        <v>1065050.5399999998</v>
      </c>
    </row>
    <row r="51" spans="1:17" s="9" customFormat="1" hidden="1" outlineLevel="1" x14ac:dyDescent="0.25">
      <c r="A51" s="23"/>
      <c r="B51" s="10" t="str">
        <f>CONCATENATE("          ","5000", " - ","PURCHASES @ COST")</f>
        <v xml:space="preserve">          5000 - PURCHASES @ COST</v>
      </c>
      <c r="C51" s="22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84393</v>
      </c>
      <c r="O51" s="2">
        <v>65342</v>
      </c>
      <c r="Q51" s="2">
        <f>SUM(OSRRefD14_0x)+IFERROR(SUM(OSRRefE14_0x),0)</f>
        <v>149735</v>
      </c>
    </row>
    <row r="52" spans="1:17" s="9" customFormat="1" hidden="1" outlineLevel="1" x14ac:dyDescent="0.25">
      <c r="A52" s="23"/>
      <c r="B52" s="10" t="str">
        <f>CONCATENATE("          ","5025", " - ","PURCHASES @ COST-TEST FORMS")</f>
        <v xml:space="preserve">          5025 - PURCHASES @ COST-TEST FORMS</v>
      </c>
      <c r="C52" s="22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25">
      <c r="A53" s="23"/>
      <c r="B53" s="10" t="str">
        <f>CONCATENATE("          ","5026", " - ","PURCHASES @ COST-WRITING INSTR")</f>
        <v xml:space="preserve">          5026 - PURCHASES @ COST-WRITING INSTR</v>
      </c>
      <c r="C53" s="22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/>
      <c r="O53" s="2"/>
      <c r="Q53" s="2">
        <f>SUM(OSRRefD14_2x)+IFERROR(SUM(OSRRefE14_2x),0)</f>
        <v>219.64</v>
      </c>
    </row>
    <row r="54" spans="1:17" s="9" customFormat="1" hidden="1" outlineLevel="1" x14ac:dyDescent="0.25">
      <c r="A54" s="23"/>
      <c r="B54" s="10" t="str">
        <f>CONCATENATE("          ","5027", " - ","PURCHASES @ COST-SCHOOL SUPPLI")</f>
        <v xml:space="preserve">          5027 - PURCHASES @ COST-SCHOOL SUPPLI</v>
      </c>
      <c r="C54" s="22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>
        <v>1838.72</v>
      </c>
      <c r="N54" s="2"/>
      <c r="O54" s="2"/>
      <c r="Q54" s="2">
        <f>SUM(OSRRefD14_3x)+IFERROR(SUM(OSRRefE14_3x),0)</f>
        <v>22839.129999999997</v>
      </c>
    </row>
    <row r="55" spans="1:17" s="9" customFormat="1" hidden="1" outlineLevel="1" x14ac:dyDescent="0.25">
      <c r="A55" s="23"/>
      <c r="B55" s="10" t="str">
        <f>CONCATENATE("          ","5028", " - ","PURCHASES @ COST-ART/TECH")</f>
        <v xml:space="preserve">          5028 - PURCHASES @ COST-ART/TECH</v>
      </c>
      <c r="C55" s="22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>
        <v>1371.26</v>
      </c>
      <c r="N55" s="2"/>
      <c r="O55" s="2"/>
      <c r="Q55" s="2">
        <f>SUM(OSRRefD14_4x)+IFERROR(SUM(OSRRefE14_4x),0)</f>
        <v>5564.77</v>
      </c>
    </row>
    <row r="56" spans="1:17" s="9" customFormat="1" hidden="1" outlineLevel="1" x14ac:dyDescent="0.25">
      <c r="A56" s="23"/>
      <c r="B56" s="10" t="str">
        <f>CONCATENATE("          ","5031", " - ","PURCHASES @ COST-FOOD")</f>
        <v xml:space="preserve">          5031 - PURCHASES @ COST-FOOD</v>
      </c>
      <c r="C56" s="22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25">
      <c r="A57" s="23"/>
      <c r="B57" s="10" t="str">
        <f>CONCATENATE("          ","5040", " - ","PURCHASES @ COST-LOGO CLOTHING")</f>
        <v xml:space="preserve">          5040 - PURCHASES @ COST-LOGO CLOTHING</v>
      </c>
      <c r="C57" s="22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>
        <v>45900.51</v>
      </c>
      <c r="M57" s="2">
        <v>39218.65</v>
      </c>
      <c r="N57" s="2"/>
      <c r="O57" s="2"/>
      <c r="Q57" s="2">
        <f>SUM(OSRRefD14_6x)+IFERROR(SUM(OSRRefE14_6x),0)</f>
        <v>279090.25</v>
      </c>
    </row>
    <row r="58" spans="1:17" s="9" customFormat="1" hidden="1" outlineLevel="1" x14ac:dyDescent="0.25">
      <c r="A58" s="23"/>
      <c r="B58" s="10" t="str">
        <f>CONCATENATE("          ","5041", " - ","PURCHASES @ COST-LOGO GIFTS")</f>
        <v xml:space="preserve">          5041 - PURCHASES @ COST-LOGO GIFTS</v>
      </c>
      <c r="C58" s="22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>
        <v>8769.24</v>
      </c>
      <c r="K58" s="2">
        <v>26592.81</v>
      </c>
      <c r="L58" s="2">
        <v>899.63</v>
      </c>
      <c r="M58" s="2">
        <v>15798.51</v>
      </c>
      <c r="N58" s="2"/>
      <c r="O58" s="2"/>
      <c r="Q58" s="2">
        <f>SUM(OSRRefD14_7x)+IFERROR(SUM(OSRRefE14_7x),0)</f>
        <v>84054.35</v>
      </c>
    </row>
    <row r="59" spans="1:17" s="9" customFormat="1" hidden="1" outlineLevel="1" x14ac:dyDescent="0.25">
      <c r="A59" s="23"/>
      <c r="B59" s="10" t="str">
        <f>CONCATENATE("          ","5042", " - ","PURCHASES @ COST-EVERYDAY GIFT")</f>
        <v xml:space="preserve">          5042 - PURCHASES @ COST-EVERYDAY GIFT</v>
      </c>
      <c r="C59" s="22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>
        <v>6760.7</v>
      </c>
      <c r="K59" s="2">
        <v>1196.2</v>
      </c>
      <c r="L59" s="2">
        <v>-270</v>
      </c>
      <c r="M59" s="2"/>
      <c r="N59" s="2"/>
      <c r="O59" s="2"/>
      <c r="Q59" s="2">
        <f>SUM(OSRRefD14_8x)+IFERROR(SUM(OSRRefE14_8x),0)</f>
        <v>10802.140000000001</v>
      </c>
    </row>
    <row r="60" spans="1:17" s="9" customFormat="1" hidden="1" outlineLevel="1" x14ac:dyDescent="0.25">
      <c r="A60" s="23"/>
      <c r="B60" s="10" t="str">
        <f>CONCATENATE("          ","5043", " - ","PURCHASES @ COST-CARDS")</f>
        <v xml:space="preserve">          5043 - PURCHASES @ COST-CARDS</v>
      </c>
      <c r="C60" s="22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>
        <v>41</v>
      </c>
      <c r="N60" s="2"/>
      <c r="O60" s="2"/>
      <c r="Q60" s="2">
        <f>SUM(OSRRefD14_9x)+IFERROR(SUM(OSRRefE14_9x),0)</f>
        <v>55405.33</v>
      </c>
    </row>
    <row r="61" spans="1:17" s="9" customFormat="1" hidden="1" outlineLevel="1" x14ac:dyDescent="0.25">
      <c r="A61" s="23"/>
      <c r="B61" s="10" t="str">
        <f>CONCATENATE("          ","5044", " - ","PURCHASES @ COST-ACCESSORIES")</f>
        <v xml:space="preserve">          5044 - PURCHASES @ COST-ACCESSORIES</v>
      </c>
      <c r="C61" s="22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>
        <v>1490.88</v>
      </c>
      <c r="N61" s="2"/>
      <c r="O61" s="2"/>
      <c r="Q61" s="2">
        <f>SUM(OSRRefD14_10x)+IFERROR(SUM(OSRRefE14_10x),0)</f>
        <v>2555.71</v>
      </c>
    </row>
    <row r="62" spans="1:17" s="9" customFormat="1" hidden="1" outlineLevel="1" x14ac:dyDescent="0.25">
      <c r="A62" s="23"/>
      <c r="B62" s="10" t="str">
        <f>CONCATENATE("          ","5045", " - ","PURCHASES @ COST-SPECIAL ORDER")</f>
        <v xml:space="preserve">          5045 - PURCHASES @ COST-SPECIAL ORDER</v>
      </c>
      <c r="C62" s="22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>
        <v>13853.18</v>
      </c>
      <c r="M62" s="2">
        <v>5771.38</v>
      </c>
      <c r="N62" s="2"/>
      <c r="O62" s="2"/>
      <c r="Q62" s="2">
        <f>SUM(OSRRefD14_11x)+IFERROR(SUM(OSRRefE14_11x),0)</f>
        <v>114998.07</v>
      </c>
    </row>
    <row r="63" spans="1:17" s="9" customFormat="1" hidden="1" outlineLevel="1" x14ac:dyDescent="0.25">
      <c r="A63" s="23"/>
      <c r="B63" s="10" t="str">
        <f>CONCATENATE("          ","5200", " - ","PURCHASES OFFSET")</f>
        <v xml:space="preserve">          5200 - PURCHASES OFFSET</v>
      </c>
      <c r="C63" s="22"/>
      <c r="D63" s="2">
        <v>-13113.6</v>
      </c>
      <c r="E63" s="2">
        <v>-18536.04</v>
      </c>
      <c r="F63" s="2">
        <v>-61907.24</v>
      </c>
      <c r="G63" s="2">
        <v>-71608.86</v>
      </c>
      <c r="H63" s="2">
        <v>-116985.24</v>
      </c>
      <c r="I63" s="2">
        <v>-58180.68</v>
      </c>
      <c r="J63" s="2">
        <v>-68791.67</v>
      </c>
      <c r="K63" s="2">
        <v>-58063.03</v>
      </c>
      <c r="L63" s="2">
        <v>-68518.25</v>
      </c>
      <c r="M63" s="2">
        <v>-70754.37</v>
      </c>
      <c r="N63" s="2"/>
      <c r="O63" s="2"/>
      <c r="Q63" s="2">
        <f>SUM(OSRRefD14_12x)+IFERROR(SUM(OSRRefE14_12x),0)</f>
        <v>-606458.98</v>
      </c>
    </row>
    <row r="64" spans="1:17" s="9" customFormat="1" hidden="1" outlineLevel="1" x14ac:dyDescent="0.25">
      <c r="A64" s="23"/>
      <c r="B64" s="10" t="str">
        <f>CONCATENATE("          ","5300", " - ","COG$ OFFSET")</f>
        <v xml:space="preserve">          5300 - COG$ OFFSET</v>
      </c>
      <c r="C64" s="22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>
        <v>75364</v>
      </c>
      <c r="K64" s="2">
        <v>52971</v>
      </c>
      <c r="L64" s="2">
        <v>77854</v>
      </c>
      <c r="M64" s="2">
        <v>174459</v>
      </c>
      <c r="N64" s="2"/>
      <c r="O64" s="2"/>
      <c r="Q64" s="2">
        <f>SUM(OSRRefD14_13x)+IFERROR(SUM(OSRRefE14_13x),0)</f>
        <v>914399</v>
      </c>
    </row>
    <row r="65" spans="1:17" s="9" customFormat="1" hidden="1" outlineLevel="1" x14ac:dyDescent="0.25">
      <c r="A65" s="23"/>
      <c r="B65" s="10" t="str">
        <f>CONCATENATE("          ","5525", " - ","FREIGHT-IN-TEST FORMS")</f>
        <v xml:space="preserve">          5525 - FREIGHT-IN-TEST FORMS</v>
      </c>
      <c r="C65" s="22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25">
      <c r="A66" s="23"/>
      <c r="B66" s="10" t="str">
        <f>CONCATENATE("          ","5526", " - ","FREIGHT-IN-WRITING INSTRUMENTS")</f>
        <v xml:space="preserve">          5526 - FREIGHT-IN-WRITING INSTRUMENTS</v>
      </c>
      <c r="C66" s="22"/>
      <c r="D66" s="2"/>
      <c r="E66" s="2"/>
      <c r="F66" s="2"/>
      <c r="G66" s="2"/>
      <c r="H66" s="2"/>
      <c r="I66" s="2">
        <v>0</v>
      </c>
      <c r="J66" s="2"/>
      <c r="K66" s="2"/>
      <c r="L66" s="2"/>
      <c r="M66" s="2"/>
      <c r="N66" s="2"/>
      <c r="O66" s="2"/>
      <c r="Q66" s="2">
        <f>SUM(OSRRefD14_15x)+IFERROR(SUM(OSRRefE14_15x),0)</f>
        <v>0</v>
      </c>
    </row>
    <row r="67" spans="1:17" s="9" customFormat="1" hidden="1" outlineLevel="1" x14ac:dyDescent="0.25">
      <c r="A67" s="23"/>
      <c r="B67" s="10" t="str">
        <f>CONCATENATE("          ","5527", " - ","FREIGHT-IN-SCHOOL SUPPLIES")</f>
        <v xml:space="preserve">          5527 - FREIGHT-IN-SCHOOL SUPPLIES</v>
      </c>
      <c r="C67" s="22"/>
      <c r="D67" s="2"/>
      <c r="E67" s="2"/>
      <c r="F67" s="2"/>
      <c r="G67" s="2">
        <v>56</v>
      </c>
      <c r="H67" s="2"/>
      <c r="I67" s="2">
        <v>121.5</v>
      </c>
      <c r="J67" s="2"/>
      <c r="K67" s="2"/>
      <c r="L67" s="2">
        <v>41.12</v>
      </c>
      <c r="M67" s="2"/>
      <c r="N67" s="2"/>
      <c r="O67" s="2"/>
      <c r="Q67" s="2">
        <f>SUM(OSRRefD14_16x)+IFERROR(SUM(OSRRefE14_16x),0)</f>
        <v>218.62</v>
      </c>
    </row>
    <row r="68" spans="1:17" s="9" customFormat="1" hidden="1" outlineLevel="1" x14ac:dyDescent="0.25">
      <c r="A68" s="23"/>
      <c r="B68" s="10" t="str">
        <f>CONCATENATE("          ","5528", " - ","FREIGHT-IN-ART/TECH")</f>
        <v xml:space="preserve">          5528 - FREIGHT-IN-ART/TECH</v>
      </c>
      <c r="C68" s="22"/>
      <c r="D68" s="2"/>
      <c r="E68" s="2"/>
      <c r="F68" s="2"/>
      <c r="G68" s="2">
        <v>3.94</v>
      </c>
      <c r="H68" s="2"/>
      <c r="I68" s="2"/>
      <c r="J68" s="2">
        <v>30.01</v>
      </c>
      <c r="K68" s="2"/>
      <c r="L68" s="2">
        <v>73.23</v>
      </c>
      <c r="M68" s="2">
        <v>69.73</v>
      </c>
      <c r="N68" s="2"/>
      <c r="O68" s="2"/>
      <c r="Q68" s="2">
        <f>SUM(OSRRefD14_17x)+IFERROR(SUM(OSRRefE14_17x),0)</f>
        <v>176.91000000000003</v>
      </c>
    </row>
    <row r="69" spans="1:17" s="9" customFormat="1" hidden="1" outlineLevel="1" x14ac:dyDescent="0.25">
      <c r="A69" s="23"/>
      <c r="B69" s="10" t="str">
        <f>CONCATENATE("          ","5540", " - ","FREIGHT-IN-LOGO CLOTHING")</f>
        <v xml:space="preserve">          5540 - FREIGHT-IN-LOGO CLOTHING</v>
      </c>
      <c r="C69" s="22"/>
      <c r="D69" s="2">
        <v>909.83</v>
      </c>
      <c r="E69" s="2">
        <v>1021.7</v>
      </c>
      <c r="F69" s="2">
        <v>234.23</v>
      </c>
      <c r="G69" s="2">
        <v>1036.57</v>
      </c>
      <c r="H69" s="2">
        <v>1333.15</v>
      </c>
      <c r="I69" s="2">
        <v>907.48</v>
      </c>
      <c r="J69" s="2">
        <v>347.67</v>
      </c>
      <c r="K69" s="2">
        <v>150.6</v>
      </c>
      <c r="L69" s="2">
        <v>1167.1400000000001</v>
      </c>
      <c r="M69" s="2">
        <v>2107.65</v>
      </c>
      <c r="N69" s="2"/>
      <c r="O69" s="2"/>
      <c r="Q69" s="2">
        <f>SUM(OSRRefD14_18x)+IFERROR(SUM(OSRRefE14_18x),0)</f>
        <v>9216.02</v>
      </c>
    </row>
    <row r="70" spans="1:17" s="9" customFormat="1" hidden="1" outlineLevel="1" x14ac:dyDescent="0.25">
      <c r="A70" s="23"/>
      <c r="B70" s="10" t="str">
        <f>CONCATENATE("          ","5541", " - ","FREIGHT-IN-LOGO GIFTS")</f>
        <v xml:space="preserve">          5541 - FREIGHT-IN-LOGO GIFTS</v>
      </c>
      <c r="C70" s="22"/>
      <c r="D70" s="2">
        <v>83.58</v>
      </c>
      <c r="E70" s="2">
        <v>123.12</v>
      </c>
      <c r="F70" s="2">
        <v>154.41</v>
      </c>
      <c r="G70" s="2">
        <v>773.7</v>
      </c>
      <c r="H70" s="2">
        <v>301.06</v>
      </c>
      <c r="I70" s="2">
        <v>84.07</v>
      </c>
      <c r="J70" s="2">
        <v>182.93</v>
      </c>
      <c r="K70" s="2">
        <v>375.06</v>
      </c>
      <c r="L70" s="2">
        <v>60.07</v>
      </c>
      <c r="M70" s="2">
        <v>2877.99</v>
      </c>
      <c r="N70" s="2"/>
      <c r="O70" s="2"/>
      <c r="Q70" s="2">
        <f>SUM(OSRRefD14_19x)+IFERROR(SUM(OSRRefE14_19x),0)</f>
        <v>5015.99</v>
      </c>
    </row>
    <row r="71" spans="1:17" s="9" customFormat="1" hidden="1" outlineLevel="1" x14ac:dyDescent="0.25">
      <c r="A71" s="23"/>
      <c r="B71" s="10" t="str">
        <f>CONCATENATE("          ","5542", " - ","FREIGHT-IN-EVERYDAY GIFTS")</f>
        <v xml:space="preserve">          5542 - FREIGHT-IN-EVERYDAY GIFTS</v>
      </c>
      <c r="C71" s="22"/>
      <c r="D71" s="2">
        <v>5.94</v>
      </c>
      <c r="E71" s="2"/>
      <c r="F71" s="2">
        <v>65.44</v>
      </c>
      <c r="G71" s="2">
        <v>104.17</v>
      </c>
      <c r="H71" s="2">
        <v>21</v>
      </c>
      <c r="I71" s="2"/>
      <c r="J71" s="2">
        <v>187.38</v>
      </c>
      <c r="K71" s="2"/>
      <c r="L71" s="2">
        <v>297.79000000000002</v>
      </c>
      <c r="M71" s="2"/>
      <c r="N71" s="2"/>
      <c r="O71" s="2"/>
      <c r="Q71" s="2">
        <f>SUM(OSRRefD14_20x)+IFERROR(SUM(OSRRefE14_20x),0)</f>
        <v>681.72</v>
      </c>
    </row>
    <row r="72" spans="1:17" s="9" customFormat="1" hidden="1" outlineLevel="1" x14ac:dyDescent="0.25">
      <c r="A72" s="23"/>
      <c r="B72" s="10" t="str">
        <f>CONCATENATE("          ","5543", " - ","FREIGHT-IN-CARDS")</f>
        <v xml:space="preserve">          5543 - FREIGHT-IN-CARDS</v>
      </c>
      <c r="C72" s="22"/>
      <c r="D72" s="2"/>
      <c r="E72" s="2"/>
      <c r="F72" s="2">
        <v>81.77</v>
      </c>
      <c r="G72" s="2">
        <v>107.42</v>
      </c>
      <c r="H72" s="2">
        <v>6323.12</v>
      </c>
      <c r="I72" s="2">
        <v>605.41</v>
      </c>
      <c r="J72" s="2">
        <v>1992.81</v>
      </c>
      <c r="K72" s="2"/>
      <c r="L72" s="2"/>
      <c r="M72" s="2"/>
      <c r="N72" s="2"/>
      <c r="O72" s="2"/>
      <c r="Q72" s="2">
        <f>SUM(OSRRefD14_21x)+IFERROR(SUM(OSRRefE14_21x),0)</f>
        <v>9110.5299999999988</v>
      </c>
    </row>
    <row r="73" spans="1:17" s="9" customFormat="1" hidden="1" outlineLevel="1" x14ac:dyDescent="0.25">
      <c r="A73" s="23"/>
      <c r="B73" s="10" t="str">
        <f>CONCATENATE("          ","5545", " - ","FREIGHT-IN-SPECIAL ORDERS")</f>
        <v xml:space="preserve">          5545 - FREIGHT-IN-SPECIAL ORDERS</v>
      </c>
      <c r="C73" s="22"/>
      <c r="D73" s="2">
        <v>300.39999999999998</v>
      </c>
      <c r="E73" s="2">
        <v>145.6</v>
      </c>
      <c r="F73" s="2">
        <v>214.61</v>
      </c>
      <c r="G73" s="2">
        <v>189.66</v>
      </c>
      <c r="H73" s="2">
        <v>37.590000000000003</v>
      </c>
      <c r="I73" s="2">
        <v>225.93</v>
      </c>
      <c r="J73" s="2"/>
      <c r="K73" s="2">
        <v>134.74</v>
      </c>
      <c r="L73" s="2">
        <v>17.63</v>
      </c>
      <c r="M73" s="2">
        <v>168.6</v>
      </c>
      <c r="N73" s="2"/>
      <c r="O73" s="2"/>
      <c r="Q73" s="2">
        <f>SUM(OSRRefD14_22x)+IFERROR(SUM(OSRRefE14_22x),0)</f>
        <v>1434.76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105</v>
      </c>
      <c r="C75" s="17"/>
      <c r="D75" s="8">
        <f t="shared" ref="D75:O75" si="18">IFERROR(+D10-D50, 0)</f>
        <v>47731.109999999957</v>
      </c>
      <c r="E75" s="8">
        <f t="shared" si="18"/>
        <v>116475.01999999996</v>
      </c>
      <c r="F75" s="8">
        <f t="shared" si="18"/>
        <v>34482.769999999997</v>
      </c>
      <c r="G75" s="8">
        <f t="shared" si="18"/>
        <v>43732.999999999964</v>
      </c>
      <c r="H75" s="8">
        <f t="shared" si="18"/>
        <v>36711.350000000006</v>
      </c>
      <c r="I75" s="8">
        <f t="shared" si="18"/>
        <v>71802.669999999969</v>
      </c>
      <c r="J75" s="8">
        <f t="shared" si="18"/>
        <v>66175.270000000033</v>
      </c>
      <c r="K75" s="8">
        <f t="shared" si="18"/>
        <v>46775.99</v>
      </c>
      <c r="L75" s="8">
        <f t="shared" si="18"/>
        <v>64851.229999999981</v>
      </c>
      <c r="M75" s="8">
        <f t="shared" si="18"/>
        <v>191634.7199999998</v>
      </c>
      <c r="N75" s="8">
        <f t="shared" si="18"/>
        <v>95168</v>
      </c>
      <c r="O75" s="8">
        <f t="shared" si="18"/>
        <v>73684</v>
      </c>
      <c r="Q75" s="8">
        <f>IFERROR(+Q10-Q50, 0)</f>
        <v>889225.12999999942</v>
      </c>
    </row>
    <row r="76" spans="1:17" s="6" customFormat="1" x14ac:dyDescent="0.25">
      <c r="B76" s="16"/>
      <c r="C76" s="16"/>
      <c r="D76" s="4">
        <f t="shared" ref="D76:O76" si="19">IFERROR(D75/D10, 0)</f>
        <v>0.32272326667052037</v>
      </c>
      <c r="E76" s="4">
        <f t="shared" si="19"/>
        <v>0.40406094448704849</v>
      </c>
      <c r="F76" s="4">
        <f t="shared" si="19"/>
        <v>0.36761478003999293</v>
      </c>
      <c r="G76" s="4">
        <f t="shared" si="19"/>
        <v>0.45257264674227976</v>
      </c>
      <c r="H76" s="4">
        <f t="shared" si="19"/>
        <v>0.44093824749406513</v>
      </c>
      <c r="I76" s="4">
        <f t="shared" si="19"/>
        <v>0.40854848519211895</v>
      </c>
      <c r="J76" s="4">
        <f t="shared" si="19"/>
        <v>0.4675399979101208</v>
      </c>
      <c r="K76" s="4">
        <f t="shared" si="19"/>
        <v>0.46894638123917326</v>
      </c>
      <c r="L76" s="4">
        <f t="shared" si="19"/>
        <v>0.45444185892836575</v>
      </c>
      <c r="M76" s="4">
        <f t="shared" si="19"/>
        <v>0.52345809155098288</v>
      </c>
      <c r="N76" s="4">
        <f t="shared" si="19"/>
        <v>0.53000373132250322</v>
      </c>
      <c r="O76" s="4">
        <f t="shared" si="19"/>
        <v>0.53000158243781736</v>
      </c>
      <c r="P76" s="18"/>
      <c r="Q76" s="4">
        <f>IFERROR(Q75/Q10, 0)</f>
        <v>0.45501519752328484</v>
      </c>
    </row>
    <row r="77" spans="1:17" x14ac:dyDescent="0.25">
      <c r="A77" s="5"/>
      <c r="B77" s="6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15" customFormat="1" x14ac:dyDescent="0.25">
      <c r="A78" s="6"/>
      <c r="B78" s="16" t="s">
        <v>254</v>
      </c>
      <c r="C78" s="6"/>
      <c r="D78" s="14">
        <f>SUM(OSRRefD20x_0)</f>
        <v>39711.06</v>
      </c>
      <c r="E78" s="14">
        <f>SUM(OSRRefD20x_1)</f>
        <v>60098.720000000001</v>
      </c>
      <c r="F78" s="14">
        <f>SUM(OSRRefD20x_2)</f>
        <v>47093.98000000001</v>
      </c>
      <c r="G78" s="14">
        <f>SUM(OSRRefD20x_3)</f>
        <v>53063.600000000006</v>
      </c>
      <c r="H78" s="14">
        <f>SUM(OSRRefD20x_4)</f>
        <v>35742.47</v>
      </c>
      <c r="I78" s="14">
        <f>SUM(OSRRefD20x_5)</f>
        <v>39948.689999999995</v>
      </c>
      <c r="J78" s="14">
        <f>SUM(OSRRefD20x_6)</f>
        <v>56259.05999999999</v>
      </c>
      <c r="K78" s="14">
        <f>SUM(OSRRefD20x_7)</f>
        <v>40152.1</v>
      </c>
      <c r="L78" s="14">
        <f>SUM(OSRRefD20x_8)</f>
        <v>43298.270000000004</v>
      </c>
      <c r="M78" s="14">
        <f>SUM(OSRRefD20x_9)</f>
        <v>57069</v>
      </c>
      <c r="N78" s="14">
        <f>SUM(OSRRefE20x_0)</f>
        <v>69560.111358000024</v>
      </c>
      <c r="O78" s="14">
        <f>SUM(OSRRefE20x_1)</f>
        <v>65814.262372800033</v>
      </c>
      <c r="Q78" s="14">
        <f>SUM(OSRRefG20x)</f>
        <v>607811.32373079995</v>
      </c>
    </row>
    <row r="79" spans="1:17" s="34" customFormat="1" collapsed="1" x14ac:dyDescent="0.25">
      <c r="A79" s="35"/>
      <c r="B79" s="11" t="str">
        <f>CONCATENATE("     ","*Benefits                                         ")</f>
        <v xml:space="preserve">     *Benefits                                         </v>
      </c>
      <c r="C79" s="11"/>
      <c r="D79" s="1">
        <f>SUM(OSRRefD21_0x_0)</f>
        <v>8882.7100000000009</v>
      </c>
      <c r="E79" s="1">
        <f>SUM(OSRRefD21_0x_1)</f>
        <v>10388.86</v>
      </c>
      <c r="F79" s="1">
        <f>SUM(OSRRefD21_0x_2)</f>
        <v>13960.140000000001</v>
      </c>
      <c r="G79" s="1">
        <f>SUM(OSRRefD21_0x_3)</f>
        <v>9376.01</v>
      </c>
      <c r="H79" s="1">
        <f>SUM(OSRRefD21_0x_4)</f>
        <v>9715.380000000001</v>
      </c>
      <c r="I79" s="1">
        <f>SUM(OSRRefD21_0x_5)</f>
        <v>9530.380000000001</v>
      </c>
      <c r="J79" s="1">
        <f>SUM(OSRRefD21_0x_6)</f>
        <v>9718.3900000000012</v>
      </c>
      <c r="K79" s="1">
        <f>SUM(OSRRefD21_0x_7)</f>
        <v>9401.67</v>
      </c>
      <c r="L79" s="1">
        <f>SUM(OSRRefD21_0x_8)</f>
        <v>9722.48</v>
      </c>
      <c r="M79" s="1">
        <f>SUM(OSRRefD21_0x_9)</f>
        <v>11502.99</v>
      </c>
      <c r="N79" s="1">
        <f>SUM(OSRRefE21_0x_0)</f>
        <v>13384.148281076928</v>
      </c>
      <c r="O79" s="1">
        <f>SUM(OSRRefE21_0x_1)</f>
        <v>14755.87929587693</v>
      </c>
      <c r="Q79" s="2">
        <f>SUM(OSRRefD20_0x)+IFERROR(SUM(OSRRefE20_0x),0)</f>
        <v>130339.03757695387</v>
      </c>
    </row>
    <row r="80" spans="1:17" s="34" customFormat="1" hidden="1" outlineLevel="1" x14ac:dyDescent="0.25">
      <c r="A80" s="35"/>
      <c r="B80" s="10" t="str">
        <f>CONCATENATE("          ","6111", " - ","F.I.C.A.")</f>
        <v xml:space="preserve">          6111 - F.I.C.A.</v>
      </c>
      <c r="C80" s="11"/>
      <c r="D80" s="2">
        <v>1400.06</v>
      </c>
      <c r="E80" s="2">
        <v>2014.11</v>
      </c>
      <c r="F80" s="2">
        <v>5204.29</v>
      </c>
      <c r="G80" s="2">
        <v>2370.91</v>
      </c>
      <c r="H80" s="2">
        <v>1667.2</v>
      </c>
      <c r="I80" s="2">
        <v>1745.09</v>
      </c>
      <c r="J80" s="2">
        <v>1873.4</v>
      </c>
      <c r="K80" s="2">
        <v>1897.68</v>
      </c>
      <c r="L80" s="2">
        <v>2052.3000000000002</v>
      </c>
      <c r="M80" s="2">
        <v>2781.47</v>
      </c>
      <c r="N80" s="2">
        <v>1957.2158963076899</v>
      </c>
      <c r="O80" s="2">
        <v>3488.1036491076902</v>
      </c>
      <c r="P80" s="9"/>
      <c r="Q80" s="2">
        <f>SUM(OSRRefD21_0_0x)+IFERROR(SUM(OSRRefE21_0_0x),0)</f>
        <v>28451.829545415378</v>
      </c>
    </row>
    <row r="81" spans="1:17" s="34" customFormat="1" hidden="1" outlineLevel="1" x14ac:dyDescent="0.25">
      <c r="A81" s="35"/>
      <c r="B81" s="10" t="str">
        <f>CONCATENATE("          ","6112", " - ","COMPENSATION INSURANCE")</f>
        <v xml:space="preserve">          6112 - COMPENSATION INSURANCE</v>
      </c>
      <c r="C81" s="11"/>
      <c r="D81" s="2">
        <v>362.05</v>
      </c>
      <c r="E81" s="2">
        <v>600.29</v>
      </c>
      <c r="F81" s="2">
        <v>2465.87</v>
      </c>
      <c r="G81" s="2">
        <v>500.44</v>
      </c>
      <c r="H81" s="2">
        <v>881.73</v>
      </c>
      <c r="I81" s="2">
        <v>881.73</v>
      </c>
      <c r="J81" s="2">
        <v>284.89</v>
      </c>
      <c r="K81" s="2">
        <v>593.09</v>
      </c>
      <c r="L81" s="2">
        <v>586.92999999999995</v>
      </c>
      <c r="M81" s="2">
        <v>576.36</v>
      </c>
      <c r="N81" s="2">
        <v>937.87289769230802</v>
      </c>
      <c r="O81" s="2">
        <v>843.19766769230796</v>
      </c>
      <c r="P81" s="9"/>
      <c r="Q81" s="2">
        <f>SUM(OSRRefD21_0_1x)+IFERROR(SUM(OSRRefE21_0_1x),0)</f>
        <v>9514.4505653846172</v>
      </c>
    </row>
    <row r="82" spans="1:17" s="34" customFormat="1" hidden="1" outlineLevel="1" x14ac:dyDescent="0.25">
      <c r="A82" s="35"/>
      <c r="B82" s="10" t="str">
        <f>CONCATENATE("          ","6113", " - ","GROUP INSURANCE")</f>
        <v xml:space="preserve">          6113 - GROUP INSURANCE</v>
      </c>
      <c r="C82" s="11"/>
      <c r="D82" s="2">
        <v>2826.13</v>
      </c>
      <c r="E82" s="2">
        <v>3662.35</v>
      </c>
      <c r="F82" s="2">
        <v>2826.13</v>
      </c>
      <c r="G82" s="2">
        <v>2826.13</v>
      </c>
      <c r="H82" s="2">
        <v>2826.13</v>
      </c>
      <c r="I82" s="2">
        <v>2862.18</v>
      </c>
      <c r="J82" s="2">
        <v>2823.95</v>
      </c>
      <c r="K82" s="2">
        <v>2823.95</v>
      </c>
      <c r="L82" s="2">
        <v>2823.95</v>
      </c>
      <c r="M82" s="2">
        <v>2823.95</v>
      </c>
      <c r="N82" s="2">
        <v>4968.8461538461497</v>
      </c>
      <c r="O82" s="2">
        <v>4968.8461538461497</v>
      </c>
      <c r="P82" s="9"/>
      <c r="Q82" s="2">
        <f>SUM(OSRRefD21_0_2x)+IFERROR(SUM(OSRRefE21_0_2x),0)</f>
        <v>39062.542307692303</v>
      </c>
    </row>
    <row r="83" spans="1:17" s="34" customFormat="1" hidden="1" outlineLevel="1" x14ac:dyDescent="0.25">
      <c r="A83" s="35"/>
      <c r="B83" s="10" t="str">
        <f>CONCATENATE("          ","6114", " - ","STATE UNEMPLOYMENT INSURANCE")</f>
        <v xml:space="preserve">          6114 - STATE UNEMPLOYMENT INSURANCE</v>
      </c>
      <c r="C83" s="11"/>
      <c r="D83" s="2">
        <v>43.75</v>
      </c>
      <c r="E83" s="2">
        <v>71.73</v>
      </c>
      <c r="F83" s="2">
        <v>192.55</v>
      </c>
      <c r="G83" s="2">
        <v>70.33</v>
      </c>
      <c r="H83" s="2">
        <v>123.92</v>
      </c>
      <c r="I83" s="2"/>
      <c r="J83" s="2">
        <v>163.96</v>
      </c>
      <c r="K83" s="2">
        <v>83.35</v>
      </c>
      <c r="L83" s="2">
        <v>82.49</v>
      </c>
      <c r="M83" s="2">
        <v>81</v>
      </c>
      <c r="N83" s="2">
        <v>131.80916400000001</v>
      </c>
      <c r="O83" s="2">
        <v>118.503456</v>
      </c>
      <c r="P83" s="9"/>
      <c r="Q83" s="2">
        <f>SUM(OSRRefD21_0_3x)+IFERROR(SUM(OSRRefE21_0_3x),0)</f>
        <v>1163.3926200000001</v>
      </c>
    </row>
    <row r="84" spans="1:17" s="34" customFormat="1" hidden="1" outlineLevel="1" x14ac:dyDescent="0.25">
      <c r="A84" s="35"/>
      <c r="B84" s="10" t="str">
        <f>CONCATENATE("          ","6115", " - ","P.E.R.S.")</f>
        <v xml:space="preserve">          6115 - P.E.R.S.</v>
      </c>
      <c r="C84" s="11"/>
      <c r="D84" s="2">
        <v>1969.19</v>
      </c>
      <c r="E84" s="2">
        <v>1527.17</v>
      </c>
      <c r="F84" s="2">
        <v>1302.07</v>
      </c>
      <c r="G84" s="2">
        <v>1018.93</v>
      </c>
      <c r="H84" s="2">
        <v>1942.92</v>
      </c>
      <c r="I84" s="2">
        <v>1554.7</v>
      </c>
      <c r="J84" s="2">
        <v>2291.9</v>
      </c>
      <c r="K84" s="2">
        <v>1508.82</v>
      </c>
      <c r="L84" s="2">
        <v>1554.7</v>
      </c>
      <c r="M84" s="2">
        <v>1479.39</v>
      </c>
      <c r="N84" s="2">
        <v>1529.7415384615399</v>
      </c>
      <c r="O84" s="2">
        <v>1529.7415384615399</v>
      </c>
      <c r="P84" s="9"/>
      <c r="Q84" s="2">
        <f>SUM(OSRRefD21_0_4x)+IFERROR(SUM(OSRRefE21_0_4x),0)</f>
        <v>19209.27307692308</v>
      </c>
    </row>
    <row r="85" spans="1:17" s="34" customFormat="1" hidden="1" outlineLevel="1" x14ac:dyDescent="0.25">
      <c r="A85" s="35"/>
      <c r="B85" s="10" t="str">
        <f>CONCATENATE("          ","6116", " - ","EDUCATIONAL BENEFITS")</f>
        <v xml:space="preserve">          6116 - EDUCATIONAL BENEFITS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>
        <v>0</v>
      </c>
      <c r="O85" s="2">
        <v>0</v>
      </c>
      <c r="P85" s="9"/>
      <c r="Q85" s="2">
        <f>SUM(OSRRefD21_0_5x)+IFERROR(SUM(OSRRefE21_0_5x),0)</f>
        <v>0</v>
      </c>
    </row>
    <row r="86" spans="1:17" s="34" customFormat="1" hidden="1" outlineLevel="1" x14ac:dyDescent="0.25">
      <c r="A86" s="35"/>
      <c r="B86" s="10" t="str">
        <f>CONCATENATE("          ","6118", " - ","VACATION")</f>
        <v xml:space="preserve">          6118 - VACATION</v>
      </c>
      <c r="C86" s="11"/>
      <c r="D86" s="2">
        <v>1222.52</v>
      </c>
      <c r="E86" s="2">
        <v>1351.22</v>
      </c>
      <c r="F86" s="2">
        <v>886.6</v>
      </c>
      <c r="G86" s="2">
        <v>1209.6500000000001</v>
      </c>
      <c r="H86" s="2">
        <v>1160.5</v>
      </c>
      <c r="I86" s="2">
        <v>1290.6199999999999</v>
      </c>
      <c r="J86" s="2">
        <v>1290.6199999999999</v>
      </c>
      <c r="K86" s="2">
        <v>1290.6199999999999</v>
      </c>
      <c r="L86" s="2">
        <v>1290.6199999999999</v>
      </c>
      <c r="M86" s="2">
        <v>1935.93</v>
      </c>
      <c r="N86" s="2">
        <v>1278.7246153846199</v>
      </c>
      <c r="O86" s="2">
        <v>1278.7246153846199</v>
      </c>
      <c r="P86" s="9"/>
      <c r="Q86" s="2">
        <f>SUM(OSRRefD21_0_6x)+IFERROR(SUM(OSRRefE21_0_6x),0)</f>
        <v>15486.349230769238</v>
      </c>
    </row>
    <row r="87" spans="1:17" s="34" customFormat="1" hidden="1" outlineLevel="1" x14ac:dyDescent="0.25">
      <c r="A87" s="35"/>
      <c r="B87" s="10" t="str">
        <f>CONCATENATE("          ","6119", " - ","SICK LEAVE")</f>
        <v xml:space="preserve">          6119 - SICK LEAVE</v>
      </c>
      <c r="C87" s="11"/>
      <c r="D87" s="2">
        <v>777.18</v>
      </c>
      <c r="E87" s="2">
        <v>873.12</v>
      </c>
      <c r="F87" s="2">
        <v>777.18</v>
      </c>
      <c r="G87" s="2">
        <v>1021.86</v>
      </c>
      <c r="H87" s="2">
        <v>785.39</v>
      </c>
      <c r="I87" s="2">
        <v>889.54</v>
      </c>
      <c r="J87" s="2">
        <v>889.54</v>
      </c>
      <c r="K87" s="2">
        <v>889.54</v>
      </c>
      <c r="L87" s="2">
        <v>889.54</v>
      </c>
      <c r="M87" s="2">
        <v>1334.31</v>
      </c>
      <c r="N87" s="2">
        <v>1529.93801538462</v>
      </c>
      <c r="O87" s="2">
        <v>1478.76221538462</v>
      </c>
      <c r="P87" s="9"/>
      <c r="Q87" s="2">
        <f>SUM(OSRRefD21_0_7x)+IFERROR(SUM(OSRRefE21_0_7x),0)</f>
        <v>12135.900230769241</v>
      </c>
    </row>
    <row r="88" spans="1:17" s="34" customFormat="1" hidden="1" outlineLevel="1" x14ac:dyDescent="0.25">
      <c r="A88" s="35"/>
      <c r="B88" s="10" t="str">
        <f>CONCATENATE("          ","6156", " - ","EMPLOYEE MEALS")</f>
        <v xml:space="preserve">          6156 - EMPLOYEE MEALS</v>
      </c>
      <c r="C88" s="11"/>
      <c r="D88" s="2">
        <v>281.83</v>
      </c>
      <c r="E88" s="2">
        <v>288.87</v>
      </c>
      <c r="F88" s="2">
        <v>305.45</v>
      </c>
      <c r="G88" s="2">
        <v>357.76</v>
      </c>
      <c r="H88" s="2">
        <v>327.58999999999997</v>
      </c>
      <c r="I88" s="2">
        <v>306.52</v>
      </c>
      <c r="J88" s="2">
        <v>100.13</v>
      </c>
      <c r="K88" s="2">
        <v>314.62</v>
      </c>
      <c r="L88" s="2">
        <v>441.95</v>
      </c>
      <c r="M88" s="2">
        <v>490.58</v>
      </c>
      <c r="N88" s="2">
        <v>1050</v>
      </c>
      <c r="O88" s="2">
        <v>1050</v>
      </c>
      <c r="P88" s="9"/>
      <c r="Q88" s="2">
        <f>SUM(OSRRefD21_0_8x)+IFERROR(SUM(OSRRefE21_0_8x),0)</f>
        <v>5315.2999999999993</v>
      </c>
    </row>
    <row r="89" spans="1:17" s="34" customFormat="1" collapsed="1" x14ac:dyDescent="0.25">
      <c r="A89" s="35"/>
      <c r="B89" s="11" t="str">
        <f>CONCATENATE("     ","*Payroll                                          ")</f>
        <v xml:space="preserve">     *Payroll                                          </v>
      </c>
      <c r="C89" s="11"/>
      <c r="D89" s="1">
        <f>SUM(OSRRefD21_1x_0)</f>
        <v>21274.85</v>
      </c>
      <c r="E89" s="1">
        <f>SUM(OSRRefD21_1x_1)</f>
        <v>36584.700000000004</v>
      </c>
      <c r="F89" s="1">
        <f>SUM(OSRRefD21_1x_2)</f>
        <v>30854.230000000003</v>
      </c>
      <c r="G89" s="1">
        <f>SUM(OSRRefD21_1x_3)</f>
        <v>31450.28</v>
      </c>
      <c r="H89" s="1">
        <f>SUM(OSRRefD21_1x_4)</f>
        <v>24334.95</v>
      </c>
      <c r="I89" s="1">
        <f>SUM(OSRRefD21_1x_5)</f>
        <v>28873.84</v>
      </c>
      <c r="J89" s="1">
        <f>SUM(OSRRefD21_1x_6)</f>
        <v>35073.31</v>
      </c>
      <c r="K89" s="1">
        <f>SUM(OSRRefD21_1x_7)</f>
        <v>29414.399999999998</v>
      </c>
      <c r="L89" s="1">
        <f>SUM(OSRRefD21_1x_8)</f>
        <v>32673.71</v>
      </c>
      <c r="M89" s="1">
        <f>SUM(OSRRefD21_1x_9)</f>
        <v>35217.1</v>
      </c>
      <c r="N89" s="1">
        <f>SUM(OSRRefE21_1x_0)</f>
        <v>48329.963076923101</v>
      </c>
      <c r="O89" s="1">
        <f>SUM(OSRRefE21_1x_1)</f>
        <v>43212.383076923099</v>
      </c>
      <c r="Q89" s="2">
        <f>SUM(OSRRefD20_1x)+IFERROR(SUM(OSRRefE20_1x),0)</f>
        <v>397293.71615384618</v>
      </c>
    </row>
    <row r="90" spans="1:17" s="34" customFormat="1" hidden="1" outlineLevel="1" x14ac:dyDescent="0.25">
      <c r="A90" s="35"/>
      <c r="B90" s="10" t="str">
        <f>CONCATENATE("          ","6001", " - ","ADMINISTRATIVE SALARIES")</f>
        <v xml:space="preserve">          6001 - ADMINISTRATIVE SALARIES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0</v>
      </c>
      <c r="O90" s="2">
        <v>0</v>
      </c>
      <c r="P90" s="9"/>
      <c r="Q90" s="2">
        <f>SUM(OSRRefD21_1_0x)+IFERROR(SUM(OSRRefE21_1_0x),0)</f>
        <v>0</v>
      </c>
    </row>
    <row r="91" spans="1:17" s="34" customFormat="1" hidden="1" outlineLevel="1" x14ac:dyDescent="0.25">
      <c r="A91" s="35"/>
      <c r="B91" s="10" t="str">
        <f>CONCATENATE("          ","6002", " - ","STAFF SALARIES")</f>
        <v xml:space="preserve">          6002 - STAFF SALARIES</v>
      </c>
      <c r="C91" s="11"/>
      <c r="D91" s="2">
        <v>16234.78</v>
      </c>
      <c r="E91" s="2">
        <v>13398.32</v>
      </c>
      <c r="F91" s="2">
        <v>10829.86</v>
      </c>
      <c r="G91" s="2">
        <v>10383.09</v>
      </c>
      <c r="H91" s="2">
        <v>10484.01</v>
      </c>
      <c r="I91" s="2">
        <v>14255.41</v>
      </c>
      <c r="J91" s="2">
        <v>17748.2</v>
      </c>
      <c r="K91" s="2">
        <v>14381.13</v>
      </c>
      <c r="L91" s="2">
        <v>14454.33</v>
      </c>
      <c r="M91" s="2">
        <v>16953.36</v>
      </c>
      <c r="N91" s="2">
        <v>16008.9230769231</v>
      </c>
      <c r="O91" s="2">
        <v>16008.9230769231</v>
      </c>
      <c r="P91" s="9"/>
      <c r="Q91" s="2">
        <f>SUM(OSRRefD21_1_1x)+IFERROR(SUM(OSRRefE21_1_1x),0)</f>
        <v>171140.33615384618</v>
      </c>
    </row>
    <row r="92" spans="1:17" s="34" customFormat="1" hidden="1" outlineLevel="1" x14ac:dyDescent="0.25">
      <c r="A92" s="35"/>
      <c r="B92" s="10" t="str">
        <f>CONCATENATE("          ","6003", " - ","STAFF HOURLY-9 MONTH")</f>
        <v xml:space="preserve">          6003 - STAFF HOURLY-9 MONTH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0</v>
      </c>
      <c r="O92" s="2">
        <v>0</v>
      </c>
      <c r="P92" s="9"/>
      <c r="Q92" s="2">
        <f>SUM(OSRRefD21_1_2x)+IFERROR(SUM(OSRRefE21_1_2x),0)</f>
        <v>0</v>
      </c>
    </row>
    <row r="93" spans="1:17" s="34" customFormat="1" hidden="1" outlineLevel="1" x14ac:dyDescent="0.25">
      <c r="A93" s="35"/>
      <c r="B93" s="10" t="str">
        <f>CONCATENATE("          ","6004", " - ","STAFF HOURLY")</f>
        <v xml:space="preserve">          6004 - STAFF HOURLY</v>
      </c>
      <c r="C93" s="11"/>
      <c r="D93" s="2">
        <v>3989.25</v>
      </c>
      <c r="E93" s="2">
        <v>10122.790000000001</v>
      </c>
      <c r="F93" s="2">
        <v>9691.51</v>
      </c>
      <c r="G93" s="2">
        <v>7145.46</v>
      </c>
      <c r="H93" s="2">
        <v>4738.05</v>
      </c>
      <c r="I93" s="2">
        <v>3113.48</v>
      </c>
      <c r="J93" s="2">
        <v>3405.92</v>
      </c>
      <c r="K93" s="2">
        <v>3620.72</v>
      </c>
      <c r="L93" s="2">
        <v>3122.6</v>
      </c>
      <c r="M93" s="2">
        <v>5641.76</v>
      </c>
      <c r="N93" s="2">
        <v>7199.7</v>
      </c>
      <c r="O93" s="2">
        <v>7199.7</v>
      </c>
      <c r="P93" s="9"/>
      <c r="Q93" s="2">
        <f>SUM(OSRRefD21_1_3x)+IFERROR(SUM(OSRRefE21_1_3x),0)</f>
        <v>68990.94</v>
      </c>
    </row>
    <row r="94" spans="1:17" s="34" customFormat="1" hidden="1" outlineLevel="1" x14ac:dyDescent="0.25">
      <c r="A94" s="35"/>
      <c r="B94" s="10" t="str">
        <f>CONCATENATE("          ","6005", " - ","TEMPORARY WAGES-HOURLY")</f>
        <v xml:space="preserve">          6005 - TEMPORARY WAGES-HOURLY</v>
      </c>
      <c r="C94" s="11"/>
      <c r="D94" s="2">
        <v>726.82</v>
      </c>
      <c r="E94" s="2">
        <v>3399.25</v>
      </c>
      <c r="F94" s="2">
        <v>5283.11</v>
      </c>
      <c r="G94" s="2">
        <v>6544.32</v>
      </c>
      <c r="H94" s="2">
        <v>3585.74</v>
      </c>
      <c r="I94" s="2">
        <v>4075.45</v>
      </c>
      <c r="J94" s="2">
        <v>3770.6</v>
      </c>
      <c r="K94" s="2">
        <v>4486.3500000000004</v>
      </c>
      <c r="L94" s="2">
        <v>6003.77</v>
      </c>
      <c r="M94" s="2">
        <v>4923.55</v>
      </c>
      <c r="N94" s="2">
        <v>0</v>
      </c>
      <c r="O94" s="2">
        <v>0</v>
      </c>
      <c r="P94" s="9"/>
      <c r="Q94" s="2">
        <f>SUM(OSRRefD21_1_4x)+IFERROR(SUM(OSRRefE21_1_4x),0)</f>
        <v>42798.960000000006</v>
      </c>
    </row>
    <row r="95" spans="1:17" s="34" customFormat="1" hidden="1" outlineLevel="1" x14ac:dyDescent="0.25">
      <c r="A95" s="35"/>
      <c r="B95" s="10" t="str">
        <f>CONCATENATE("          ","6006", " - ","TEMPORARY PART TIME")</f>
        <v xml:space="preserve">          6006 - TEMPORARY PART TIME</v>
      </c>
      <c r="C95" s="11"/>
      <c r="D95" s="2"/>
      <c r="E95" s="2"/>
      <c r="F95" s="2"/>
      <c r="G95" s="2"/>
      <c r="H95" s="2"/>
      <c r="I95" s="2"/>
      <c r="J95" s="2"/>
      <c r="K95" s="2">
        <v>990.78</v>
      </c>
      <c r="L95" s="2">
        <v>1272.68</v>
      </c>
      <c r="M95" s="2">
        <v>2003.66</v>
      </c>
      <c r="N95" s="2">
        <v>0</v>
      </c>
      <c r="O95" s="2">
        <v>0</v>
      </c>
      <c r="P95" s="9"/>
      <c r="Q95" s="2">
        <f>SUM(OSRRefD21_1_5x)+IFERROR(SUM(OSRRefE21_1_5x),0)</f>
        <v>4267.12</v>
      </c>
    </row>
    <row r="96" spans="1:17" s="34" customFormat="1" hidden="1" outlineLevel="1" x14ac:dyDescent="0.25">
      <c r="A96" s="35"/>
      <c r="B96" s="10" t="str">
        <f>CONCATENATE("          ","6007", " - ","STUDENT HOURLY")</f>
        <v xml:space="preserve">          6007 - STUDENT HOURLY</v>
      </c>
      <c r="C96" s="11"/>
      <c r="D96" s="2">
        <v>324</v>
      </c>
      <c r="E96" s="2">
        <v>9325.2999999999993</v>
      </c>
      <c r="F96" s="2">
        <v>4365.2299999999996</v>
      </c>
      <c r="G96" s="2">
        <v>6431.14</v>
      </c>
      <c r="H96" s="2">
        <v>4914.46</v>
      </c>
      <c r="I96" s="2">
        <v>6799</v>
      </c>
      <c r="J96" s="2">
        <v>9787.67</v>
      </c>
      <c r="K96" s="2">
        <v>5096.3999999999996</v>
      </c>
      <c r="L96" s="2">
        <v>6707.96</v>
      </c>
      <c r="M96" s="2">
        <v>4185.92</v>
      </c>
      <c r="N96" s="2">
        <v>0</v>
      </c>
      <c r="O96" s="2">
        <v>20003.759999999998</v>
      </c>
      <c r="P96" s="9"/>
      <c r="Q96" s="2">
        <f>SUM(OSRRefD21_1_6x)+IFERROR(SUM(OSRRefE21_1_6x),0)</f>
        <v>77940.84</v>
      </c>
    </row>
    <row r="97" spans="1:17" s="34" customFormat="1" hidden="1" outlineLevel="1" x14ac:dyDescent="0.25">
      <c r="A97" s="35"/>
      <c r="B97" s="10" t="str">
        <f>CONCATENATE("          ","6008", " - ","STUDENT HOURLY-FICA EXEMPT")</f>
        <v xml:space="preserve">          6008 - STUDENT HOURLY-FICA EXEMPT</v>
      </c>
      <c r="C97" s="11"/>
      <c r="D97" s="2"/>
      <c r="E97" s="2">
        <v>339.04</v>
      </c>
      <c r="F97" s="2">
        <v>684.52</v>
      </c>
      <c r="G97" s="2">
        <v>946.27</v>
      </c>
      <c r="H97" s="2">
        <v>612.69000000000005</v>
      </c>
      <c r="I97" s="2">
        <v>630.5</v>
      </c>
      <c r="J97" s="2">
        <v>360.92</v>
      </c>
      <c r="K97" s="2">
        <v>839.02</v>
      </c>
      <c r="L97" s="2">
        <v>1112.3699999999999</v>
      </c>
      <c r="M97" s="2">
        <v>1508.85</v>
      </c>
      <c r="N97" s="2">
        <v>25121.34</v>
      </c>
      <c r="O97" s="2">
        <v>0</v>
      </c>
      <c r="P97" s="9"/>
      <c r="Q97" s="2">
        <f>SUM(OSRRefD21_1_7x)+IFERROR(SUM(OSRRefE21_1_7x),0)</f>
        <v>32155.52</v>
      </c>
    </row>
    <row r="98" spans="1:17" s="34" customFormat="1" hidden="1" outlineLevel="1" x14ac:dyDescent="0.25">
      <c r="A98" s="35"/>
      <c r="B98" s="10" t="str">
        <f>CONCATENATE("          ","6009", " - ","TEMPORARY-SEASONAL")</f>
        <v xml:space="preserve">          6009 - TEMPORARY-SEASONAL</v>
      </c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>
        <v>0</v>
      </c>
      <c r="O98" s="2">
        <v>0</v>
      </c>
      <c r="P98" s="9"/>
      <c r="Q98" s="2">
        <f>SUM(OSRRefD21_1_8x)+IFERROR(SUM(OSRRefE21_1_8x),0)</f>
        <v>0</v>
      </c>
    </row>
    <row r="99" spans="1:17" s="34" customFormat="1" hidden="1" outlineLevel="1" x14ac:dyDescent="0.25">
      <c r="A99" s="35"/>
      <c r="B99" s="10" t="str">
        <f>CONCATENATE("          ","6010", " - ","GRATUITY")</f>
        <v xml:space="preserve">          6010 - GRATUITY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>
        <v>0</v>
      </c>
      <c r="O99" s="2">
        <v>0</v>
      </c>
      <c r="P99" s="9"/>
      <c r="Q99" s="2">
        <f>SUM(OSRRefD21_1_9x)+IFERROR(SUM(OSRRefE21_1_9x),0)</f>
        <v>0</v>
      </c>
    </row>
    <row r="100" spans="1:17" s="34" customFormat="1" collapsed="1" x14ac:dyDescent="0.25">
      <c r="A100" s="35"/>
      <c r="B100" s="11" t="str">
        <f>CONCATENATE("     ","Advertising/Promo                                 ")</f>
        <v xml:space="preserve">     Advertising/Promo                                 </v>
      </c>
      <c r="C100" s="11"/>
      <c r="D100" s="1">
        <f>SUM(OSRRefD21_2x_0)</f>
        <v>1340.93</v>
      </c>
      <c r="E100" s="1">
        <f>SUM(OSRRefD21_2x_1)</f>
        <v>9301.39</v>
      </c>
      <c r="F100" s="1">
        <f>SUM(OSRRefD21_2x_2)</f>
        <v>391.39</v>
      </c>
      <c r="G100" s="1">
        <f>SUM(OSRRefD21_2x_3)</f>
        <v>255.44</v>
      </c>
      <c r="H100" s="1">
        <f>SUM(OSRRefD21_2x_4)</f>
        <v>513.5</v>
      </c>
      <c r="I100" s="1">
        <f>SUM(OSRRefD21_2x_5)</f>
        <v>220.5</v>
      </c>
      <c r="J100" s="1">
        <f>SUM(OSRRefD21_2x_6)</f>
        <v>637.52</v>
      </c>
      <c r="K100" s="1">
        <f>SUM(OSRRefD21_2x_7)</f>
        <v>114.65</v>
      </c>
      <c r="L100" s="1">
        <f>SUM(OSRRefD21_2x_8)</f>
        <v>42.6</v>
      </c>
      <c r="M100" s="1">
        <f>SUM(OSRRefD21_2x_9)</f>
        <v>75.62</v>
      </c>
      <c r="N100" s="1">
        <f>SUM(OSRRefE21_2x_0)</f>
        <v>100</v>
      </c>
      <c r="O100" s="1">
        <f>SUM(OSRRefE21_2x_1)</f>
        <v>100</v>
      </c>
      <c r="Q100" s="2">
        <f>SUM(OSRRefD20_2x)+IFERROR(SUM(OSRRefE20_2x),0)</f>
        <v>13093.54</v>
      </c>
    </row>
    <row r="101" spans="1:17" s="34" customFormat="1" hidden="1" outlineLevel="1" x14ac:dyDescent="0.25">
      <c r="A101" s="35"/>
      <c r="B101" s="10" t="str">
        <f>CONCATENATE("          ","6362", " - ","ADVERTISING EXPENSE")</f>
        <v xml:space="preserve">          6362 - ADVERTISING EXPENSE</v>
      </c>
      <c r="C101" s="11"/>
      <c r="D101" s="2">
        <v>1340.93</v>
      </c>
      <c r="E101" s="2">
        <v>9301.39</v>
      </c>
      <c r="F101" s="2">
        <v>391.39</v>
      </c>
      <c r="G101" s="2">
        <v>255.44</v>
      </c>
      <c r="H101" s="2">
        <v>513.5</v>
      </c>
      <c r="I101" s="2">
        <v>220.5</v>
      </c>
      <c r="J101" s="2">
        <v>637.52</v>
      </c>
      <c r="K101" s="2">
        <v>114.65</v>
      </c>
      <c r="L101" s="2">
        <v>42.6</v>
      </c>
      <c r="M101" s="2">
        <v>75.62</v>
      </c>
      <c r="N101" s="2">
        <v>100</v>
      </c>
      <c r="O101" s="2">
        <v>100</v>
      </c>
      <c r="P101" s="9"/>
      <c r="Q101" s="2">
        <f>SUM(OSRRefD21_2_0x)+IFERROR(SUM(OSRRefE21_2_0x),0)</f>
        <v>13093.54</v>
      </c>
    </row>
    <row r="102" spans="1:17" s="34" customFormat="1" collapsed="1" x14ac:dyDescent="0.25">
      <c r="A102" s="35"/>
      <c r="B102" s="11" t="str">
        <f>CONCATENATE("     ","Bad Debts/Over/Short                              ")</f>
        <v xml:space="preserve">     Bad Debts/Over/Short                              </v>
      </c>
      <c r="C102" s="11"/>
      <c r="D102" s="1">
        <f>SUM(OSRRefD21_3x_0)</f>
        <v>0</v>
      </c>
      <c r="E102" s="1">
        <f>SUM(OSRRefD21_3x_1)</f>
        <v>0</v>
      </c>
      <c r="F102" s="1">
        <f>SUM(OSRRefD21_3x_2)</f>
        <v>0</v>
      </c>
      <c r="G102" s="1">
        <f>SUM(OSRRefD21_3x_3)</f>
        <v>0</v>
      </c>
      <c r="H102" s="1">
        <f>SUM(OSRRefD21_3x_4)</f>
        <v>0</v>
      </c>
      <c r="I102" s="1">
        <f>SUM(OSRRefD21_3x_5)</f>
        <v>0</v>
      </c>
      <c r="J102" s="1">
        <f>SUM(OSRRefD21_3x_6)</f>
        <v>0</v>
      </c>
      <c r="K102" s="1">
        <f>SUM(OSRRefD21_3x_7)</f>
        <v>0</v>
      </c>
      <c r="L102" s="1">
        <f>SUM(OSRRefD21_3x_8)</f>
        <v>0</v>
      </c>
      <c r="M102" s="1">
        <f>SUM(OSRRefD21_3x_9)</f>
        <v>0</v>
      </c>
      <c r="N102" s="1">
        <f>SUM(OSRRefE21_3x_0)</f>
        <v>0</v>
      </c>
      <c r="O102" s="1">
        <f>SUM(OSRRefE21_3x_1)</f>
        <v>0</v>
      </c>
      <c r="Q102" s="2">
        <f>SUM(OSRRefD20_3x)+IFERROR(SUM(OSRRefE20_3x),0)</f>
        <v>0</v>
      </c>
    </row>
    <row r="103" spans="1:17" s="34" customFormat="1" hidden="1" outlineLevel="1" x14ac:dyDescent="0.25">
      <c r="A103" s="35"/>
      <c r="B103" s="10" t="str">
        <f>CONCATENATE("          ","6272", " - ","CASH (OVER/SHORT)")</f>
        <v xml:space="preserve">          6272 - CASH (OVER/SHORT)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>
        <v>0</v>
      </c>
      <c r="O103" s="2">
        <v>0</v>
      </c>
      <c r="P103" s="9"/>
      <c r="Q103" s="2">
        <f>SUM(OSRRefD21_3_0x)+IFERROR(SUM(OSRRefE21_3_0x),0)</f>
        <v>0</v>
      </c>
    </row>
    <row r="104" spans="1:17" s="34" customFormat="1" collapsed="1" x14ac:dyDescent="0.25">
      <c r="A104" s="35"/>
      <c r="B104" s="11" t="str">
        <f>CONCATENATE("     ","Bank/card Fees                                    ")</f>
        <v xml:space="preserve">     Bank/card Fees                                    </v>
      </c>
      <c r="C104" s="11"/>
      <c r="D104" s="1">
        <f>SUM(OSRRefD21_4x_0)</f>
        <v>0</v>
      </c>
      <c r="E104" s="1">
        <f>SUM(OSRRefD21_4x_1)</f>
        <v>0</v>
      </c>
      <c r="F104" s="1">
        <f>SUM(OSRRefD21_4x_2)</f>
        <v>0</v>
      </c>
      <c r="G104" s="1">
        <f>SUM(OSRRefD21_4x_3)</f>
        <v>0</v>
      </c>
      <c r="H104" s="1">
        <f>SUM(OSRRefD21_4x_4)</f>
        <v>0</v>
      </c>
      <c r="I104" s="1">
        <f>SUM(OSRRefD21_4x_5)</f>
        <v>0</v>
      </c>
      <c r="J104" s="1">
        <f>SUM(OSRRefD21_4x_6)</f>
        <v>0</v>
      </c>
      <c r="K104" s="1">
        <f>SUM(OSRRefD21_4x_7)</f>
        <v>0</v>
      </c>
      <c r="L104" s="1">
        <f>SUM(OSRRefD21_4x_8)</f>
        <v>0</v>
      </c>
      <c r="M104" s="1">
        <f>SUM(OSRRefD21_4x_9)</f>
        <v>0</v>
      </c>
      <c r="N104" s="1">
        <f>SUM(OSRRefE21_4x_0)</f>
        <v>0</v>
      </c>
      <c r="O104" s="1">
        <f>SUM(OSRRefE21_4x_1)</f>
        <v>0</v>
      </c>
      <c r="Q104" s="2">
        <f>SUM(OSRRefD20_4x)+IFERROR(SUM(OSRRefE20_4x),0)</f>
        <v>0</v>
      </c>
    </row>
    <row r="105" spans="1:17" s="34" customFormat="1" hidden="1" outlineLevel="1" x14ac:dyDescent="0.25">
      <c r="A105" s="35"/>
      <c r="B105" s="10" t="str">
        <f>CONCATENATE("          ","6381", " - ","BANK/CREDIT CARD FEES")</f>
        <v xml:space="preserve">          6381 - BANK/CREDIT CARD FEES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>
        <v>0</v>
      </c>
      <c r="O105" s="2">
        <v>0</v>
      </c>
      <c r="P105" s="9"/>
      <c r="Q105" s="2">
        <f>SUM(OSRRefD21_4_0x)+IFERROR(SUM(OSRRefE21_4_0x),0)</f>
        <v>0</v>
      </c>
    </row>
    <row r="106" spans="1:17" s="34" customFormat="1" collapsed="1" x14ac:dyDescent="0.25">
      <c r="A106" s="35"/>
      <c r="B106" s="11" t="str">
        <f>CONCATENATE("     ","Discounts and Markdowns                           ")</f>
        <v xml:space="preserve">     Discounts and Markdowns                           </v>
      </c>
      <c r="C106" s="11"/>
      <c r="D106" s="1">
        <f>SUM(OSRRefD21_5x_0)</f>
        <v>0</v>
      </c>
      <c r="E106" s="1">
        <f>SUM(OSRRefD21_5x_1)</f>
        <v>0</v>
      </c>
      <c r="F106" s="1">
        <f>SUM(OSRRefD21_5x_2)</f>
        <v>0</v>
      </c>
      <c r="G106" s="1">
        <f>SUM(OSRRefD21_5x_3)</f>
        <v>0</v>
      </c>
      <c r="H106" s="1">
        <f>SUM(OSRRefD21_5x_4)</f>
        <v>0</v>
      </c>
      <c r="I106" s="1">
        <f>SUM(OSRRefD21_5x_5)</f>
        <v>0</v>
      </c>
      <c r="J106" s="1">
        <f>SUM(OSRRefD21_5x_6)</f>
        <v>0</v>
      </c>
      <c r="K106" s="1">
        <f>SUM(OSRRefD21_5x_7)</f>
        <v>0</v>
      </c>
      <c r="L106" s="1">
        <f>SUM(OSRRefD21_5x_8)</f>
        <v>0</v>
      </c>
      <c r="M106" s="1">
        <f>SUM(OSRRefD21_5x_9)</f>
        <v>0</v>
      </c>
      <c r="N106" s="1">
        <f>SUM(OSRRefE21_5x_0)</f>
        <v>0</v>
      </c>
      <c r="O106" s="1">
        <f>SUM(OSRRefE21_5x_1)</f>
        <v>0</v>
      </c>
      <c r="Q106" s="2">
        <f>SUM(OSRRefD20_5x)+IFERROR(SUM(OSRRefE20_5x),0)</f>
        <v>0</v>
      </c>
    </row>
    <row r="107" spans="1:17" s="34" customFormat="1" hidden="1" outlineLevel="1" x14ac:dyDescent="0.25">
      <c r="A107" s="35"/>
      <c r="B107" s="10" t="str">
        <f>CONCATENATE("          ","6382", " - ","DISCOUNTS/MARK DOWNS")</f>
        <v xml:space="preserve">          6382 - DISCOUNTS/MARK DOWNS</v>
      </c>
      <c r="C107" s="11"/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9"/>
      <c r="Q107" s="2">
        <f>SUM(OSRRefD21_5_0x)+IFERROR(SUM(OSRRefE21_5_0x),0)</f>
        <v>0</v>
      </c>
    </row>
    <row r="108" spans="1:17" s="34" customFormat="1" hidden="1" outlineLevel="1" x14ac:dyDescent="0.25">
      <c r="A108" s="35"/>
      <c r="B108" s="10" t="str">
        <f>CONCATENATE("          ","9175", " - ","EARNED DISCOUNTS")</f>
        <v xml:space="preserve">          9175 - EARNED DISCOUNTS</v>
      </c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>
        <v>0</v>
      </c>
      <c r="N108" s="2"/>
      <c r="O108" s="2"/>
      <c r="P108" s="9"/>
      <c r="Q108" s="2">
        <f>SUM(OSRRefD21_5_1x)+IFERROR(SUM(OSRRefE21_5_1x),0)</f>
        <v>0</v>
      </c>
    </row>
    <row r="109" spans="1:17" s="34" customFormat="1" collapsed="1" x14ac:dyDescent="0.25">
      <c r="A109" s="35"/>
      <c r="B109" s="11" t="str">
        <f>CONCATENATE("     ","Employees' Appreciation                           ")</f>
        <v xml:space="preserve">     Employees' Appreciation                           </v>
      </c>
      <c r="C109" s="11"/>
      <c r="D109" s="1">
        <f>SUM(OSRRefD21_6x_0)</f>
        <v>0</v>
      </c>
      <c r="E109" s="1">
        <f>SUM(OSRRefD21_6x_1)</f>
        <v>0</v>
      </c>
      <c r="F109" s="1">
        <f>SUM(OSRRefD21_6x_2)</f>
        <v>0</v>
      </c>
      <c r="G109" s="1">
        <f>SUM(OSRRefD21_6x_3)</f>
        <v>0</v>
      </c>
      <c r="H109" s="1">
        <f>SUM(OSRRefD21_6x_4)</f>
        <v>0</v>
      </c>
      <c r="I109" s="1">
        <f>SUM(OSRRefD21_6x_5)</f>
        <v>0</v>
      </c>
      <c r="J109" s="1">
        <f>SUM(OSRRefD21_6x_6)</f>
        <v>0</v>
      </c>
      <c r="K109" s="1">
        <f>SUM(OSRRefD21_6x_7)</f>
        <v>0</v>
      </c>
      <c r="L109" s="1">
        <f>SUM(OSRRefD21_6x_8)</f>
        <v>0</v>
      </c>
      <c r="M109" s="1">
        <f>SUM(OSRRefD21_6x_9)</f>
        <v>0</v>
      </c>
      <c r="N109" s="1">
        <f>SUM(OSRRefE21_6x_0)</f>
        <v>0</v>
      </c>
      <c r="O109" s="1">
        <f>SUM(OSRRefE21_6x_1)</f>
        <v>0</v>
      </c>
      <c r="Q109" s="2">
        <f>SUM(OSRRefD20_6x)+IFERROR(SUM(OSRRefE20_6x),0)</f>
        <v>0</v>
      </c>
    </row>
    <row r="110" spans="1:17" s="34" customFormat="1" hidden="1" outlineLevel="1" x14ac:dyDescent="0.25">
      <c r="A110" s="35"/>
      <c r="B110" s="10" t="str">
        <f>CONCATENATE("          ","6277", " - ","EMPLOYEE APPRECIATION")</f>
        <v xml:space="preserve">          6277 - EMPLOYEE APPRECIATION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>
        <v>0</v>
      </c>
      <c r="O110" s="2">
        <v>0</v>
      </c>
      <c r="P110" s="9"/>
      <c r="Q110" s="2">
        <f>SUM(OSRRefD21_6_0x)+IFERROR(SUM(OSRRefE21_6_0x),0)</f>
        <v>0</v>
      </c>
    </row>
    <row r="111" spans="1:17" s="34" customFormat="1" collapsed="1" x14ac:dyDescent="0.25">
      <c r="A111" s="35"/>
      <c r="B111" s="11" t="str">
        <f>CONCATENATE("     ","Freight out/Postage                               ")</f>
        <v xml:space="preserve">     Freight out/Postage                               </v>
      </c>
      <c r="C111" s="11"/>
      <c r="D111" s="1">
        <f>SUM(OSRRefD21_7x_0)</f>
        <v>16.39</v>
      </c>
      <c r="E111" s="1">
        <f>SUM(OSRRefD21_7x_1)</f>
        <v>34.06</v>
      </c>
      <c r="F111" s="1">
        <f>SUM(OSRRefD21_7x_2)</f>
        <v>30.66</v>
      </c>
      <c r="G111" s="1">
        <f>SUM(OSRRefD21_7x_3)</f>
        <v>10.85</v>
      </c>
      <c r="H111" s="1">
        <f>SUM(OSRRefD21_7x_4)</f>
        <v>0</v>
      </c>
      <c r="I111" s="1">
        <f>SUM(OSRRefD21_7x_5)</f>
        <v>15.280000000000001</v>
      </c>
      <c r="J111" s="1">
        <f>SUM(OSRRefD21_7x_6)</f>
        <v>127.18</v>
      </c>
      <c r="K111" s="1">
        <f>SUM(OSRRefD21_7x_7)</f>
        <v>52.110000000000007</v>
      </c>
      <c r="L111" s="1">
        <f>SUM(OSRRefD21_7x_8)</f>
        <v>-502.63</v>
      </c>
      <c r="M111" s="1">
        <f>SUM(OSRRefD21_7x_9)</f>
        <v>40.200000000000003</v>
      </c>
      <c r="N111" s="1">
        <f>SUM(OSRRefE21_7x_0)</f>
        <v>25</v>
      </c>
      <c r="O111" s="1">
        <f>SUM(OSRRefE21_7x_1)</f>
        <v>25</v>
      </c>
      <c r="Q111" s="2">
        <f>SUM(OSRRefD20_7x)+IFERROR(SUM(OSRRefE20_7x),0)</f>
        <v>-125.89999999999998</v>
      </c>
    </row>
    <row r="112" spans="1:17" s="34" customFormat="1" hidden="1" outlineLevel="1" x14ac:dyDescent="0.25">
      <c r="A112" s="35"/>
      <c r="B112" s="10" t="str">
        <f>CONCATENATE("          ","6305", " - ","FREIGHT OUT")</f>
        <v xml:space="preserve">          6305 - FREIGHT OUT</v>
      </c>
      <c r="C112" s="11"/>
      <c r="D112" s="2">
        <v>16.39</v>
      </c>
      <c r="E112" s="2">
        <v>34.06</v>
      </c>
      <c r="F112" s="2">
        <v>30.66</v>
      </c>
      <c r="G112" s="2">
        <v>10.85</v>
      </c>
      <c r="H112" s="2"/>
      <c r="I112" s="2">
        <v>21.28</v>
      </c>
      <c r="J112" s="2">
        <v>127.18</v>
      </c>
      <c r="K112" s="2">
        <v>66.260000000000005</v>
      </c>
      <c r="L112" s="2">
        <v>-233.44</v>
      </c>
      <c r="M112" s="2">
        <v>40.200000000000003</v>
      </c>
      <c r="N112" s="2"/>
      <c r="O112" s="2"/>
      <c r="P112" s="9"/>
      <c r="Q112" s="2">
        <f>SUM(OSRRefD21_7_0x)+IFERROR(SUM(OSRRefE21_7_0x),0)</f>
        <v>113.44000000000001</v>
      </c>
    </row>
    <row r="113" spans="1:17" s="34" customFormat="1" hidden="1" outlineLevel="1" x14ac:dyDescent="0.25">
      <c r="A113" s="35"/>
      <c r="B113" s="10" t="str">
        <f>CONCATENATE("          ","6307", " - ","POSTAGE")</f>
        <v xml:space="preserve">          6307 - POSTAGE</v>
      </c>
      <c r="C113" s="11"/>
      <c r="D113" s="2"/>
      <c r="E113" s="2"/>
      <c r="F113" s="2"/>
      <c r="G113" s="2"/>
      <c r="H113" s="2"/>
      <c r="I113" s="2">
        <v>-6</v>
      </c>
      <c r="J113" s="2"/>
      <c r="K113" s="2">
        <v>-14.15</v>
      </c>
      <c r="L113" s="2">
        <v>-269.19</v>
      </c>
      <c r="M113" s="2"/>
      <c r="N113" s="2">
        <v>25</v>
      </c>
      <c r="O113" s="2">
        <v>25</v>
      </c>
      <c r="P113" s="9"/>
      <c r="Q113" s="2">
        <f>SUM(OSRRefD21_7_1x)+IFERROR(SUM(OSRRefE21_7_1x),0)</f>
        <v>-239.33999999999997</v>
      </c>
    </row>
    <row r="114" spans="1:17" s="34" customFormat="1" collapsed="1" x14ac:dyDescent="0.25">
      <c r="A114" s="35"/>
      <c r="B114" s="11" t="str">
        <f>CONCATENATE("     ","General                                           ")</f>
        <v xml:space="preserve">     General                                           </v>
      </c>
      <c r="C114" s="11"/>
      <c r="D114" s="1">
        <f>SUM(OSRRefD21_8x_0)</f>
        <v>0</v>
      </c>
      <c r="E114" s="1">
        <f>SUM(OSRRefD21_8x_1)</f>
        <v>0</v>
      </c>
      <c r="F114" s="1">
        <f>SUM(OSRRefD21_8x_2)</f>
        <v>0</v>
      </c>
      <c r="G114" s="1">
        <f>SUM(OSRRefD21_8x_3)</f>
        <v>0</v>
      </c>
      <c r="H114" s="1">
        <f>SUM(OSRRefD21_8x_4)</f>
        <v>0</v>
      </c>
      <c r="I114" s="1">
        <f>SUM(OSRRefD21_8x_5)</f>
        <v>0</v>
      </c>
      <c r="J114" s="1">
        <f>SUM(OSRRefD21_8x_6)</f>
        <v>0</v>
      </c>
      <c r="K114" s="1">
        <f>SUM(OSRRefD21_8x_7)</f>
        <v>0</v>
      </c>
      <c r="L114" s="1">
        <f>SUM(OSRRefD21_8x_8)</f>
        <v>0</v>
      </c>
      <c r="M114" s="1">
        <f>SUM(OSRRefD21_8x_9)</f>
        <v>0</v>
      </c>
      <c r="N114" s="1">
        <f>SUM(OSRRefE21_8x_0)</f>
        <v>0</v>
      </c>
      <c r="O114" s="1">
        <f>SUM(OSRRefE21_8x_1)</f>
        <v>0</v>
      </c>
      <c r="Q114" s="2">
        <f>SUM(OSRRefD20_8x)+IFERROR(SUM(OSRRefE20_8x),0)</f>
        <v>0</v>
      </c>
    </row>
    <row r="115" spans="1:17" s="34" customFormat="1" hidden="1" outlineLevel="1" x14ac:dyDescent="0.25">
      <c r="A115" s="35"/>
      <c r="B115" s="10" t="str">
        <f>CONCATENATE("          ","6279", " - ","GENERAL EXPENSE")</f>
        <v xml:space="preserve">          6279 - GENERAL EXPENSE</v>
      </c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>
        <v>0</v>
      </c>
      <c r="O115" s="2">
        <v>0</v>
      </c>
      <c r="P115" s="9"/>
      <c r="Q115" s="2">
        <f>SUM(OSRRefD21_8_0x)+IFERROR(SUM(OSRRefE21_8_0x),0)</f>
        <v>0</v>
      </c>
    </row>
    <row r="116" spans="1:17" s="34" customFormat="1" collapsed="1" x14ac:dyDescent="0.25">
      <c r="A116" s="35"/>
      <c r="B116" s="11" t="str">
        <f>CONCATENATE("     ","Inventory Adjustment                              ")</f>
        <v xml:space="preserve">     Inventory Adjustment                              </v>
      </c>
      <c r="C116" s="11"/>
      <c r="D116" s="1">
        <f>SUM(OSRRefD21_9x_0)</f>
        <v>1000</v>
      </c>
      <c r="E116" s="1">
        <f>SUM(OSRRefD21_9x_1)</f>
        <v>1000</v>
      </c>
      <c r="F116" s="1">
        <f>SUM(OSRRefD21_9x_2)</f>
        <v>1000</v>
      </c>
      <c r="G116" s="1">
        <f>SUM(OSRRefD21_9x_3)</f>
        <v>1000</v>
      </c>
      <c r="H116" s="1">
        <f>SUM(OSRRefD21_9x_4)</f>
        <v>1000</v>
      </c>
      <c r="I116" s="1">
        <f>SUM(OSRRefD21_9x_5)</f>
        <v>1000</v>
      </c>
      <c r="J116" s="1">
        <f>SUM(OSRRefD21_9x_6)</f>
        <v>1000</v>
      </c>
      <c r="K116" s="1">
        <f>SUM(OSRRefD21_9x_7)</f>
        <v>1000</v>
      </c>
      <c r="L116" s="1">
        <f>SUM(OSRRefD21_9x_8)</f>
        <v>1000</v>
      </c>
      <c r="M116" s="1">
        <f>SUM(OSRRefD21_9x_9)</f>
        <v>1000</v>
      </c>
      <c r="N116" s="1">
        <f>SUM(OSRRefE21_9x_0)</f>
        <v>1000</v>
      </c>
      <c r="O116" s="1">
        <f>SUM(OSRRefE21_9x_1)</f>
        <v>1000</v>
      </c>
      <c r="Q116" s="2">
        <f>SUM(OSRRefD20_9x)+IFERROR(SUM(OSRRefE20_9x),0)</f>
        <v>12000</v>
      </c>
    </row>
    <row r="117" spans="1:17" s="34" customFormat="1" hidden="1" outlineLevel="1" x14ac:dyDescent="0.25">
      <c r="A117" s="35"/>
      <c r="B117" s="10" t="str">
        <f>CONCATENATE("          ","6408", " - ","INVENTORY ADJUSTMENT")</f>
        <v xml:space="preserve">          6408 - INVENTORY ADJUSTMENT</v>
      </c>
      <c r="C117" s="11"/>
      <c r="D117" s="2">
        <v>1000</v>
      </c>
      <c r="E117" s="2">
        <v>1000</v>
      </c>
      <c r="F117" s="2">
        <v>1000</v>
      </c>
      <c r="G117" s="2">
        <v>1000</v>
      </c>
      <c r="H117" s="2">
        <v>1000</v>
      </c>
      <c r="I117" s="2">
        <v>1000</v>
      </c>
      <c r="J117" s="2">
        <v>1000</v>
      </c>
      <c r="K117" s="2">
        <v>1000</v>
      </c>
      <c r="L117" s="2">
        <v>1000</v>
      </c>
      <c r="M117" s="2">
        <v>1000</v>
      </c>
      <c r="N117" s="2">
        <v>1000</v>
      </c>
      <c r="O117" s="2">
        <v>1000</v>
      </c>
      <c r="P117" s="9"/>
      <c r="Q117" s="2">
        <f>SUM(OSRRefD21_9_0x)+IFERROR(SUM(OSRRefE21_9_0x),0)</f>
        <v>12000</v>
      </c>
    </row>
    <row r="118" spans="1:17" s="34" customFormat="1" hidden="1" outlineLevel="1" x14ac:dyDescent="0.25">
      <c r="A118" s="35"/>
      <c r="B118" s="10" t="str">
        <f>CONCATENATE("          ","7741", " - ","INV. SHRINKAGE-LOGO GIFTS")</f>
        <v xml:space="preserve">          7741 - INV. SHRINKAGE-LOGO GIFTS</v>
      </c>
      <c r="C118" s="11"/>
      <c r="D118" s="2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9"/>
      <c r="Q118" s="2">
        <f>SUM(OSRRefD21_9_1x)+IFERROR(SUM(OSRRefE21_9_1x),0)</f>
        <v>0</v>
      </c>
    </row>
    <row r="119" spans="1:17" s="34" customFormat="1" collapsed="1" x14ac:dyDescent="0.25">
      <c r="A119" s="35"/>
      <c r="B119" s="11" t="str">
        <f>CONCATENATE("     ","Professional Services                             ")</f>
        <v xml:space="preserve">     Professional Services                             </v>
      </c>
      <c r="C119" s="11"/>
      <c r="D119" s="1">
        <f>SUM(OSRRefD21_10x_0)</f>
        <v>0</v>
      </c>
      <c r="E119" s="1">
        <f>SUM(OSRRefD21_10x_1)</f>
        <v>0</v>
      </c>
      <c r="F119" s="1">
        <f>SUM(OSRRefD21_10x_2)</f>
        <v>0</v>
      </c>
      <c r="G119" s="1">
        <f>SUM(OSRRefD21_10x_3)</f>
        <v>0</v>
      </c>
      <c r="H119" s="1">
        <f>SUM(OSRRefD21_10x_4)</f>
        <v>0</v>
      </c>
      <c r="I119" s="1">
        <f>SUM(OSRRefD21_10x_5)</f>
        <v>0</v>
      </c>
      <c r="J119" s="1">
        <f>SUM(OSRRefD21_10x_6)</f>
        <v>0</v>
      </c>
      <c r="K119" s="1">
        <f>SUM(OSRRefD21_10x_7)</f>
        <v>0</v>
      </c>
      <c r="L119" s="1">
        <f>SUM(OSRRefD21_10x_8)</f>
        <v>0</v>
      </c>
      <c r="M119" s="1">
        <f>SUM(OSRRefD21_10x_9)</f>
        <v>0</v>
      </c>
      <c r="N119" s="1">
        <f>SUM(OSRRefE21_10x_0)</f>
        <v>0</v>
      </c>
      <c r="O119" s="1">
        <f>SUM(OSRRefE21_10x_1)</f>
        <v>0</v>
      </c>
      <c r="Q119" s="2">
        <f>SUM(OSRRefD20_10x)+IFERROR(SUM(OSRRefE20_10x),0)</f>
        <v>0</v>
      </c>
    </row>
    <row r="120" spans="1:17" s="34" customFormat="1" hidden="1" outlineLevel="1" x14ac:dyDescent="0.25">
      <c r="A120" s="35"/>
      <c r="B120" s="10" t="str">
        <f>CONCATENATE("          ","6336", " - ","PROFESSIONAL SERVICES")</f>
        <v xml:space="preserve">          6336 - PROFESSIONAL SERVICES</v>
      </c>
      <c r="C120" s="1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>
        <v>0</v>
      </c>
      <c r="O120" s="2">
        <v>0</v>
      </c>
      <c r="P120" s="9"/>
      <c r="Q120" s="2">
        <f>SUM(OSRRefD21_10_0x)+IFERROR(SUM(OSRRefE21_10_0x),0)</f>
        <v>0</v>
      </c>
    </row>
    <row r="121" spans="1:17" s="34" customFormat="1" collapsed="1" x14ac:dyDescent="0.25">
      <c r="A121" s="35"/>
      <c r="B121" s="11" t="str">
        <f>CONCATENATE("     ","Repair and Maintenance                            ")</f>
        <v xml:space="preserve">     Repair and Maintenance                            </v>
      </c>
      <c r="C121" s="11"/>
      <c r="D121" s="1">
        <f>SUM(OSRRefD21_11x_0)</f>
        <v>0</v>
      </c>
      <c r="E121" s="1">
        <f>SUM(OSRRefD21_11x_1)</f>
        <v>0</v>
      </c>
      <c r="F121" s="1">
        <f>SUM(OSRRefD21_11x_2)</f>
        <v>0</v>
      </c>
      <c r="G121" s="1">
        <f>SUM(OSRRefD21_11x_3)</f>
        <v>0</v>
      </c>
      <c r="H121" s="1">
        <f>SUM(OSRRefD21_11x_4)</f>
        <v>0</v>
      </c>
      <c r="I121" s="1">
        <f>SUM(OSRRefD21_11x_5)</f>
        <v>0</v>
      </c>
      <c r="J121" s="1">
        <f>SUM(OSRRefD21_11x_6)</f>
        <v>0</v>
      </c>
      <c r="K121" s="1">
        <f>SUM(OSRRefD21_11x_7)</f>
        <v>0</v>
      </c>
      <c r="L121" s="1">
        <f>SUM(OSRRefD21_11x_8)</f>
        <v>0</v>
      </c>
      <c r="M121" s="1">
        <f>SUM(OSRRefD21_11x_9)</f>
        <v>0</v>
      </c>
      <c r="N121" s="1">
        <f>SUM(OSRRefE21_11x_0)</f>
        <v>50</v>
      </c>
      <c r="O121" s="1">
        <f>SUM(OSRRefE21_11x_1)</f>
        <v>50</v>
      </c>
      <c r="Q121" s="2">
        <f>SUM(OSRRefD20_11x)+IFERROR(SUM(OSRRefE20_11x),0)</f>
        <v>100</v>
      </c>
    </row>
    <row r="122" spans="1:17" s="34" customFormat="1" hidden="1" outlineLevel="1" x14ac:dyDescent="0.25">
      <c r="A122" s="35"/>
      <c r="B122" s="10" t="str">
        <f>CONCATENATE("          ","6375", " - ","OUTSIDE REPAIRS &amp; MAINTENANCE")</f>
        <v xml:space="preserve">          6375 - OUTSIDE REPAIRS &amp; MAINTENANCE</v>
      </c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>
        <v>50</v>
      </c>
      <c r="O122" s="2">
        <v>50</v>
      </c>
      <c r="P122" s="9"/>
      <c r="Q122" s="2">
        <f>SUM(OSRRefD21_11_0x)+IFERROR(SUM(OSRRefE21_11_0x),0)</f>
        <v>100</v>
      </c>
    </row>
    <row r="123" spans="1:17" s="34" customFormat="1" collapsed="1" x14ac:dyDescent="0.25">
      <c r="A123" s="35"/>
      <c r="B123" s="11" t="str">
        <f>CONCATENATE("     ","Royalty &amp; Commissions                             ")</f>
        <v xml:space="preserve">     Royalty &amp; Commissions                             </v>
      </c>
      <c r="C123" s="11"/>
      <c r="D123" s="1">
        <f>SUM(OSRRefD21_12x_0)</f>
        <v>5672.2</v>
      </c>
      <c r="E123" s="1">
        <f>SUM(OSRRefD21_12x_1)</f>
        <v>2250</v>
      </c>
      <c r="F123" s="1">
        <f>SUM(OSRRefD21_12x_2)</f>
        <v>0</v>
      </c>
      <c r="G123" s="1">
        <f>SUM(OSRRefD21_12x_3)</f>
        <v>10489.6</v>
      </c>
      <c r="H123" s="1">
        <f>SUM(OSRRefD21_12x_4)</f>
        <v>0</v>
      </c>
      <c r="I123" s="1">
        <f>SUM(OSRRefD21_12x_5)</f>
        <v>0</v>
      </c>
      <c r="J123" s="1">
        <f>SUM(OSRRefD21_12x_6)</f>
        <v>7785.78</v>
      </c>
      <c r="K123" s="1">
        <f>SUM(OSRRefD21_12x_7)</f>
        <v>0</v>
      </c>
      <c r="L123" s="1">
        <f>SUM(OSRRefD21_12x_8)</f>
        <v>0</v>
      </c>
      <c r="M123" s="1">
        <f>SUM(OSRRefD21_12x_9)</f>
        <v>8961.48</v>
      </c>
      <c r="N123" s="1">
        <f>SUM(OSRRefE21_12x_0)</f>
        <v>6271</v>
      </c>
      <c r="O123" s="1">
        <f>SUM(OSRRefE21_12x_1)</f>
        <v>6271</v>
      </c>
      <c r="Q123" s="2">
        <f>SUM(OSRRefD20_12x)+IFERROR(SUM(OSRRefE20_12x),0)</f>
        <v>47701.06</v>
      </c>
    </row>
    <row r="124" spans="1:17" s="34" customFormat="1" hidden="1" outlineLevel="1" x14ac:dyDescent="0.25">
      <c r="A124" s="35"/>
      <c r="B124" s="10" t="str">
        <f>CONCATENATE("          ","6252", " - ","ROYALTY DUE CSTV")</f>
        <v xml:space="preserve">          6252 - ROYALTY DUE CSTV</v>
      </c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>
        <v>1085</v>
      </c>
      <c r="O124" s="2">
        <v>1085</v>
      </c>
      <c r="P124" s="9"/>
      <c r="Q124" s="2">
        <f>SUM(OSRRefD21_12_0x)+IFERROR(SUM(OSRRefE21_12_0x),0)</f>
        <v>2170</v>
      </c>
    </row>
    <row r="125" spans="1:17" s="34" customFormat="1" hidden="1" outlineLevel="1" x14ac:dyDescent="0.25">
      <c r="A125" s="35"/>
      <c r="B125" s="10" t="str">
        <f>CONCATENATE("          ","6253", " - ","ROYALTY DUE ATHLETICS-LRG")</f>
        <v xml:space="preserve">          6253 - ROYALTY DUE ATHLETICS-LRG</v>
      </c>
      <c r="C125" s="11"/>
      <c r="D125" s="2">
        <v>5672.2</v>
      </c>
      <c r="E125" s="2">
        <v>2250</v>
      </c>
      <c r="F125" s="2"/>
      <c r="G125" s="2">
        <v>10489.6</v>
      </c>
      <c r="H125" s="2"/>
      <c r="I125" s="2"/>
      <c r="J125" s="2">
        <v>7785.78</v>
      </c>
      <c r="K125" s="2"/>
      <c r="L125" s="2"/>
      <c r="M125" s="2">
        <v>8961.48</v>
      </c>
      <c r="N125" s="2">
        <v>4037</v>
      </c>
      <c r="O125" s="2">
        <v>4037</v>
      </c>
      <c r="P125" s="9"/>
      <c r="Q125" s="2">
        <f>SUM(OSRRefD21_12_1x)+IFERROR(SUM(OSRRefE21_12_1x),0)</f>
        <v>43233.06</v>
      </c>
    </row>
    <row r="126" spans="1:17" s="34" customFormat="1" hidden="1" outlineLevel="1" x14ac:dyDescent="0.25">
      <c r="A126" s="35"/>
      <c r="B126" s="10" t="str">
        <f>CONCATENATE("          ","6254", " - ","ROYALTY &amp; COMMISSIONS")</f>
        <v xml:space="preserve">          6254 - ROYALTY &amp; COMMISSIONS</v>
      </c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>
        <v>1149</v>
      </c>
      <c r="O126" s="2">
        <v>1149</v>
      </c>
      <c r="P126" s="9"/>
      <c r="Q126" s="2">
        <f>SUM(OSRRefD21_12_2x)+IFERROR(SUM(OSRRefE21_12_2x),0)</f>
        <v>2298</v>
      </c>
    </row>
    <row r="127" spans="1:17" s="34" customFormat="1" collapsed="1" x14ac:dyDescent="0.25">
      <c r="A127" s="35"/>
      <c r="B127" s="11" t="str">
        <f>CONCATENATE("     ","Subscriptions &amp; Dues                              ")</f>
        <v xml:space="preserve">     Subscriptions &amp; Dues                              </v>
      </c>
      <c r="C127" s="11"/>
      <c r="D127" s="1">
        <f>SUM(OSRRefD21_13x_0)</f>
        <v>0</v>
      </c>
      <c r="E127" s="1">
        <f>SUM(OSRRefD21_13x_1)</f>
        <v>0</v>
      </c>
      <c r="F127" s="1">
        <f>SUM(OSRRefD21_13x_2)</f>
        <v>75.73</v>
      </c>
      <c r="G127" s="1">
        <f>SUM(OSRRefD21_13x_3)</f>
        <v>0</v>
      </c>
      <c r="H127" s="1">
        <f>SUM(OSRRefD21_13x_4)</f>
        <v>-441</v>
      </c>
      <c r="I127" s="1">
        <f>SUM(OSRRefD21_13x_5)</f>
        <v>0</v>
      </c>
      <c r="J127" s="1">
        <f>SUM(OSRRefD21_13x_6)</f>
        <v>133.69999999999999</v>
      </c>
      <c r="K127" s="1">
        <f>SUM(OSRRefD21_13x_7)</f>
        <v>0</v>
      </c>
      <c r="L127" s="1">
        <f>SUM(OSRRefD21_13x_8)</f>
        <v>0</v>
      </c>
      <c r="M127" s="1">
        <f>SUM(OSRRefD21_13x_9)</f>
        <v>0</v>
      </c>
      <c r="N127" s="1">
        <f>SUM(OSRRefE21_13x_0)</f>
        <v>0</v>
      </c>
      <c r="O127" s="1">
        <f>SUM(OSRRefE21_13x_1)</f>
        <v>0</v>
      </c>
      <c r="Q127" s="2">
        <f>SUM(OSRRefD20_13x)+IFERROR(SUM(OSRRefE20_13x),0)</f>
        <v>-231.57</v>
      </c>
    </row>
    <row r="128" spans="1:17" s="34" customFormat="1" hidden="1" outlineLevel="1" x14ac:dyDescent="0.25">
      <c r="A128" s="35"/>
      <c r="B128" s="10" t="str">
        <f>CONCATENATE("          ","6258", " - ","MEMBERSHIP DUES")</f>
        <v xml:space="preserve">          6258 - MEMBERSHIP DUES</v>
      </c>
      <c r="C128" s="11"/>
      <c r="D128" s="2"/>
      <c r="E128" s="2"/>
      <c r="F128" s="2"/>
      <c r="G128" s="2"/>
      <c r="H128" s="2">
        <v>-441</v>
      </c>
      <c r="I128" s="2"/>
      <c r="J128" s="2">
        <v>133.69999999999999</v>
      </c>
      <c r="K128" s="2"/>
      <c r="L128" s="2"/>
      <c r="M128" s="2"/>
      <c r="N128" s="2">
        <v>0</v>
      </c>
      <c r="O128" s="2">
        <v>0</v>
      </c>
      <c r="P128" s="9"/>
      <c r="Q128" s="2">
        <f>SUM(OSRRefD21_13_0x)+IFERROR(SUM(OSRRefE21_13_0x),0)</f>
        <v>-307.3</v>
      </c>
    </row>
    <row r="129" spans="1:17" s="34" customFormat="1" hidden="1" outlineLevel="1" x14ac:dyDescent="0.25">
      <c r="A129" s="35"/>
      <c r="B129" s="10" t="str">
        <f>CONCATENATE("          ","6275", " - ","SUBSCRIPTIONS")</f>
        <v xml:space="preserve">          6275 - SUBSCRIPTIONS</v>
      </c>
      <c r="C129" s="11"/>
      <c r="D129" s="2"/>
      <c r="E129" s="2"/>
      <c r="F129" s="2">
        <v>75.73</v>
      </c>
      <c r="G129" s="2"/>
      <c r="H129" s="2"/>
      <c r="I129" s="2"/>
      <c r="J129" s="2"/>
      <c r="K129" s="2"/>
      <c r="L129" s="2"/>
      <c r="M129" s="2"/>
      <c r="N129" s="2"/>
      <c r="O129" s="2"/>
      <c r="P129" s="9"/>
      <c r="Q129" s="2">
        <f>SUM(OSRRefD21_13_1x)+IFERROR(SUM(OSRRefE21_13_1x),0)</f>
        <v>75.73</v>
      </c>
    </row>
    <row r="130" spans="1:17" s="34" customFormat="1" collapsed="1" x14ac:dyDescent="0.25">
      <c r="A130" s="35"/>
      <c r="B130" s="11" t="str">
        <f>CONCATENATE("     ","Supplies                                          ")</f>
        <v xml:space="preserve">     Supplies                                          </v>
      </c>
      <c r="C130" s="11"/>
      <c r="D130" s="1">
        <f>SUM(OSRRefD21_14x_0)</f>
        <v>1009.76</v>
      </c>
      <c r="E130" s="1">
        <f>SUM(OSRRefD21_14x_1)</f>
        <v>58.15</v>
      </c>
      <c r="F130" s="1">
        <f>SUM(OSRRefD21_14x_2)</f>
        <v>31.83</v>
      </c>
      <c r="G130" s="1">
        <f>SUM(OSRRefD21_14x_3)</f>
        <v>206.87</v>
      </c>
      <c r="H130" s="1">
        <f>SUM(OSRRefD21_14x_4)</f>
        <v>338.09000000000003</v>
      </c>
      <c r="I130" s="1">
        <f>SUM(OSRRefD21_14x_5)</f>
        <v>46.59</v>
      </c>
      <c r="J130" s="1">
        <f>SUM(OSRRefD21_14x_6)</f>
        <v>1606.65</v>
      </c>
      <c r="K130" s="1">
        <f>SUM(OSRRefD21_14x_7)</f>
        <v>65.67</v>
      </c>
      <c r="L130" s="1">
        <f>SUM(OSRRefD21_14x_8)</f>
        <v>266.36</v>
      </c>
      <c r="M130" s="1">
        <f>SUM(OSRRefD21_14x_9)</f>
        <v>129.86000000000001</v>
      </c>
      <c r="N130" s="1">
        <f>SUM(OSRRefE21_14x_0)</f>
        <v>100</v>
      </c>
      <c r="O130" s="1">
        <f>SUM(OSRRefE21_14x_1)</f>
        <v>100</v>
      </c>
      <c r="Q130" s="2">
        <f>SUM(OSRRefD20_14x)+IFERROR(SUM(OSRRefE20_14x),0)</f>
        <v>3959.8300000000008</v>
      </c>
    </row>
    <row r="131" spans="1:17" s="34" customFormat="1" hidden="1" outlineLevel="1" x14ac:dyDescent="0.25">
      <c r="A131" s="35"/>
      <c r="B131" s="10" t="str">
        <f>CONCATENATE("          ","6234", " - ","EXPENDABLE SUPPLIES &amp; EQUIPMEN")</f>
        <v xml:space="preserve">          6234 - EXPENDABLE SUPPLIES &amp; EQUIPMEN</v>
      </c>
      <c r="C131" s="11"/>
      <c r="D131" s="2"/>
      <c r="E131" s="2"/>
      <c r="F131" s="2"/>
      <c r="G131" s="2"/>
      <c r="H131" s="2"/>
      <c r="I131" s="2"/>
      <c r="J131" s="2">
        <v>396.5</v>
      </c>
      <c r="K131" s="2"/>
      <c r="L131" s="2"/>
      <c r="M131" s="2">
        <v>53</v>
      </c>
      <c r="N131" s="2">
        <v>0</v>
      </c>
      <c r="O131" s="2">
        <v>0</v>
      </c>
      <c r="P131" s="9"/>
      <c r="Q131" s="2">
        <f>SUM(OSRRefD21_14_0x)+IFERROR(SUM(OSRRefE21_14_0x),0)</f>
        <v>449.5</v>
      </c>
    </row>
    <row r="132" spans="1:17" s="34" customFormat="1" hidden="1" outlineLevel="1" x14ac:dyDescent="0.25">
      <c r="A132" s="35"/>
      <c r="B132" s="10" t="str">
        <f>CONCATENATE("          ","6235", " - ","COVID-19 EXPENSES")</f>
        <v xml:space="preserve">          6235 - COVID-19 EXPENSES</v>
      </c>
      <c r="C132" s="11"/>
      <c r="D132" s="2">
        <v>961.38</v>
      </c>
      <c r="E132" s="2"/>
      <c r="F132" s="2"/>
      <c r="G132" s="2"/>
      <c r="H132" s="2">
        <v>65.05</v>
      </c>
      <c r="I132" s="2"/>
      <c r="J132" s="2"/>
      <c r="K132" s="2"/>
      <c r="L132" s="2"/>
      <c r="M132" s="2"/>
      <c r="N132" s="2">
        <v>50</v>
      </c>
      <c r="O132" s="2">
        <v>50</v>
      </c>
      <c r="P132" s="9"/>
      <c r="Q132" s="2">
        <f>SUM(OSRRefD21_14_1x)+IFERROR(SUM(OSRRefE21_14_1x),0)</f>
        <v>1126.43</v>
      </c>
    </row>
    <row r="133" spans="1:17" s="34" customFormat="1" hidden="1" outlineLevel="1" x14ac:dyDescent="0.25">
      <c r="A133" s="35"/>
      <c r="B133" s="10" t="str">
        <f>CONCATENATE("          ","6237", " - ","JANITORIAL SUPPLIES")</f>
        <v xml:space="preserve">          6237 - JANITORIAL SUPPLIES</v>
      </c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>
        <v>0</v>
      </c>
      <c r="O133" s="2">
        <v>0</v>
      </c>
      <c r="P133" s="9"/>
      <c r="Q133" s="2">
        <f>SUM(OSRRefD21_14_2x)+IFERROR(SUM(OSRRefE21_14_2x),0)</f>
        <v>0</v>
      </c>
    </row>
    <row r="134" spans="1:17" s="34" customFormat="1" hidden="1" outlineLevel="1" x14ac:dyDescent="0.25">
      <c r="A134" s="35"/>
      <c r="B134" s="10" t="str">
        <f>CONCATENATE("          ","6241", " - ","OFFICE EXPENSE")</f>
        <v xml:space="preserve">          6241 - OFFICE EXPENSE</v>
      </c>
      <c r="C134" s="11"/>
      <c r="D134" s="2">
        <v>48.38</v>
      </c>
      <c r="E134" s="2">
        <v>58.15</v>
      </c>
      <c r="F134" s="2">
        <v>31.83</v>
      </c>
      <c r="G134" s="2">
        <v>20.16</v>
      </c>
      <c r="H134" s="2">
        <v>273.04000000000002</v>
      </c>
      <c r="I134" s="2">
        <v>39.840000000000003</v>
      </c>
      <c r="J134" s="2">
        <v>337.04</v>
      </c>
      <c r="K134" s="2">
        <v>22.01</v>
      </c>
      <c r="L134" s="2">
        <v>266.36</v>
      </c>
      <c r="M134" s="2">
        <v>76.86</v>
      </c>
      <c r="N134" s="2">
        <v>25</v>
      </c>
      <c r="O134" s="2">
        <v>25</v>
      </c>
      <c r="P134" s="9"/>
      <c r="Q134" s="2">
        <f>SUM(OSRRefD21_14_3x)+IFERROR(SUM(OSRRefE21_14_3x),0)</f>
        <v>1223.6699999999998</v>
      </c>
    </row>
    <row r="135" spans="1:17" s="34" customFormat="1" hidden="1" outlineLevel="1" x14ac:dyDescent="0.25">
      <c r="A135" s="35"/>
      <c r="B135" s="10" t="str">
        <f>CONCATENATE("          ","6243", " - ","PAPER SUPPLIES")</f>
        <v xml:space="preserve">          6243 - PAPER SUPPLIES</v>
      </c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>
        <v>0</v>
      </c>
      <c r="O135" s="2">
        <v>0</v>
      </c>
      <c r="P135" s="9"/>
      <c r="Q135" s="2">
        <f>SUM(OSRRefD21_14_4x)+IFERROR(SUM(OSRRefE21_14_4x),0)</f>
        <v>0</v>
      </c>
    </row>
    <row r="136" spans="1:17" s="34" customFormat="1" hidden="1" outlineLevel="1" x14ac:dyDescent="0.25">
      <c r="A136" s="35"/>
      <c r="B136" s="10" t="str">
        <f>CONCATENATE("          ","6245", " - ","PRINTING")</f>
        <v xml:space="preserve">          6245 - PRINTING</v>
      </c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>
        <v>0</v>
      </c>
      <c r="O136" s="2">
        <v>0</v>
      </c>
      <c r="P136" s="9"/>
      <c r="Q136" s="2">
        <f>SUM(OSRRefD21_14_5x)+IFERROR(SUM(OSRRefE21_14_5x),0)</f>
        <v>0</v>
      </c>
    </row>
    <row r="137" spans="1:17" s="34" customFormat="1" hidden="1" outlineLevel="1" x14ac:dyDescent="0.25">
      <c r="A137" s="35"/>
      <c r="B137" s="10" t="str">
        <f>CONCATENATE("          ","6247", " - ","STORE SUPPLIES")</f>
        <v xml:space="preserve">          6247 - STORE SUPPLIES</v>
      </c>
      <c r="C137" s="11"/>
      <c r="D137" s="2"/>
      <c r="E137" s="2"/>
      <c r="F137" s="2"/>
      <c r="G137" s="2">
        <v>186.71</v>
      </c>
      <c r="H137" s="2"/>
      <c r="I137" s="2">
        <v>6.75</v>
      </c>
      <c r="J137" s="2">
        <v>873.11</v>
      </c>
      <c r="K137" s="2">
        <v>43.66</v>
      </c>
      <c r="L137" s="2"/>
      <c r="M137" s="2"/>
      <c r="N137" s="2">
        <v>25</v>
      </c>
      <c r="O137" s="2">
        <v>25</v>
      </c>
      <c r="P137" s="9"/>
      <c r="Q137" s="2">
        <f>SUM(OSRRefD21_14_6x)+IFERROR(SUM(OSRRefE21_14_6x),0)</f>
        <v>1160.23</v>
      </c>
    </row>
    <row r="138" spans="1:17" s="34" customFormat="1" collapsed="1" x14ac:dyDescent="0.25">
      <c r="A138" s="35"/>
      <c r="B138" s="11" t="str">
        <f>CONCATENATE("     ","Telephone/Data Lines                              ")</f>
        <v xml:space="preserve">     Telephone/Data Lines                              </v>
      </c>
      <c r="C138" s="11"/>
      <c r="D138" s="1">
        <f>SUM(OSRRefD21_15x_0)</f>
        <v>514.22</v>
      </c>
      <c r="E138" s="1">
        <f>SUM(OSRRefD21_15x_1)</f>
        <v>481.56</v>
      </c>
      <c r="F138" s="1">
        <f>SUM(OSRRefD21_15x_2)</f>
        <v>750</v>
      </c>
      <c r="G138" s="1">
        <f>SUM(OSRRefD21_15x_3)</f>
        <v>274.55</v>
      </c>
      <c r="H138" s="1">
        <f>SUM(OSRRefD21_15x_4)</f>
        <v>281.55</v>
      </c>
      <c r="I138" s="1">
        <f>SUM(OSRRefD21_15x_5)</f>
        <v>262.10000000000002</v>
      </c>
      <c r="J138" s="1">
        <f>SUM(OSRRefD21_15x_6)</f>
        <v>106.61</v>
      </c>
      <c r="K138" s="1">
        <f>SUM(OSRRefD21_15x_7)</f>
        <v>103.6</v>
      </c>
      <c r="L138" s="1">
        <f>SUM(OSRRefD21_15x_8)</f>
        <v>95.75</v>
      </c>
      <c r="M138" s="1">
        <f>SUM(OSRRefD21_15x_9)</f>
        <v>97.85</v>
      </c>
      <c r="N138" s="1">
        <f>SUM(OSRRefE21_15x_0)</f>
        <v>300</v>
      </c>
      <c r="O138" s="1">
        <f>SUM(OSRRefE21_15x_1)</f>
        <v>300</v>
      </c>
      <c r="Q138" s="2">
        <f>SUM(OSRRefD20_15x)+IFERROR(SUM(OSRRefE20_15x),0)</f>
        <v>3567.79</v>
      </c>
    </row>
    <row r="139" spans="1:17" s="34" customFormat="1" hidden="1" outlineLevel="1" x14ac:dyDescent="0.25">
      <c r="A139" s="35"/>
      <c r="B139" s="10" t="str">
        <f>CONCATENATE("          ","6309", " - ","TELEPHONE")</f>
        <v xml:space="preserve">          6309 - TELEPHONE</v>
      </c>
      <c r="C139" s="11"/>
      <c r="D139" s="2">
        <v>514.22</v>
      </c>
      <c r="E139" s="2">
        <v>481.56</v>
      </c>
      <c r="F139" s="2">
        <v>750</v>
      </c>
      <c r="G139" s="2">
        <v>274.55</v>
      </c>
      <c r="H139" s="2">
        <v>281.55</v>
      </c>
      <c r="I139" s="2">
        <v>262.10000000000002</v>
      </c>
      <c r="J139" s="2">
        <v>106.61</v>
      </c>
      <c r="K139" s="2">
        <v>103.6</v>
      </c>
      <c r="L139" s="2">
        <v>95.75</v>
      </c>
      <c r="M139" s="2">
        <v>97.85</v>
      </c>
      <c r="N139" s="2">
        <v>300</v>
      </c>
      <c r="O139" s="2">
        <v>300</v>
      </c>
      <c r="P139" s="9"/>
      <c r="Q139" s="2">
        <f>SUM(OSRRefD21_15_0x)+IFERROR(SUM(OSRRefE21_15_0x),0)</f>
        <v>3567.79</v>
      </c>
    </row>
    <row r="140" spans="1:17" s="34" customFormat="1" collapsed="1" x14ac:dyDescent="0.25">
      <c r="A140" s="35"/>
      <c r="B140" s="11" t="str">
        <f>CONCATENATE("     ","Travel                                            ")</f>
        <v xml:space="preserve">     Travel                                            </v>
      </c>
      <c r="C140" s="11"/>
      <c r="D140" s="1">
        <f>SUM(OSRRefD21_16x_0)</f>
        <v>0</v>
      </c>
      <c r="E140" s="1">
        <f>SUM(OSRRefD21_16x_1)</f>
        <v>0</v>
      </c>
      <c r="F140" s="1">
        <f>SUM(OSRRefD21_16x_2)</f>
        <v>0</v>
      </c>
      <c r="G140" s="1">
        <f>SUM(OSRRefD21_16x_3)</f>
        <v>0</v>
      </c>
      <c r="H140" s="1">
        <f>SUM(OSRRefD21_16x_4)</f>
        <v>0</v>
      </c>
      <c r="I140" s="1">
        <f>SUM(OSRRefD21_16x_5)</f>
        <v>0</v>
      </c>
      <c r="J140" s="1">
        <f>SUM(OSRRefD21_16x_6)</f>
        <v>69.92</v>
      </c>
      <c r="K140" s="1">
        <f>SUM(OSRRefD21_16x_7)</f>
        <v>0</v>
      </c>
      <c r="L140" s="1">
        <f>SUM(OSRRefD21_16x_8)</f>
        <v>0</v>
      </c>
      <c r="M140" s="1">
        <f>SUM(OSRRefD21_16x_9)</f>
        <v>43.9</v>
      </c>
      <c r="N140" s="1">
        <f>SUM(OSRRefE21_16x_0)</f>
        <v>0</v>
      </c>
      <c r="O140" s="1">
        <f>SUM(OSRRefE21_16x_1)</f>
        <v>0</v>
      </c>
      <c r="Q140" s="2">
        <f>SUM(OSRRefD20_16x)+IFERROR(SUM(OSRRefE20_16x),0)</f>
        <v>113.82</v>
      </c>
    </row>
    <row r="141" spans="1:17" s="34" customFormat="1" hidden="1" outlineLevel="1" x14ac:dyDescent="0.25">
      <c r="A141" s="35"/>
      <c r="B141" s="10" t="str">
        <f>CONCATENATE("          ","6294", " - ","TRAVEL OPERATIONAL")</f>
        <v xml:space="preserve">          6294 - TRAVEL OPERATIONAL</v>
      </c>
      <c r="C141" s="11"/>
      <c r="D141" s="2"/>
      <c r="E141" s="2"/>
      <c r="F141" s="2"/>
      <c r="G141" s="2"/>
      <c r="H141" s="2"/>
      <c r="I141" s="2"/>
      <c r="J141" s="2">
        <v>69.92</v>
      </c>
      <c r="K141" s="2"/>
      <c r="L141" s="2"/>
      <c r="M141" s="2">
        <v>43.9</v>
      </c>
      <c r="N141" s="2">
        <v>0</v>
      </c>
      <c r="O141" s="2">
        <v>0</v>
      </c>
      <c r="P141" s="9"/>
      <c r="Q141" s="2">
        <f>SUM(OSRRefD21_16_0x)+IFERROR(SUM(OSRRefE21_16_0x),0)</f>
        <v>113.82</v>
      </c>
    </row>
    <row r="142" spans="1:17" s="34" customFormat="1" hidden="1" outlineLevel="1" x14ac:dyDescent="0.25">
      <c r="A142" s="35"/>
      <c r="B142" s="10" t="str">
        <f>CONCATENATE("          ","6298", " - ","VEHICLE MILEAGE")</f>
        <v xml:space="preserve">          6298 - VEHICLE MILEAGE</v>
      </c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>
        <v>0</v>
      </c>
      <c r="O142" s="2">
        <v>0</v>
      </c>
      <c r="P142" s="9"/>
      <c r="Q142" s="2">
        <f>SUM(OSRRefD21_16_1x)+IFERROR(SUM(OSRRefE21_16_1x),0)</f>
        <v>0</v>
      </c>
    </row>
    <row r="143" spans="1:17" s="30" customFormat="1" x14ac:dyDescent="0.25">
      <c r="A143" s="21"/>
      <c r="B143" s="21"/>
      <c r="C143" s="2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Q143" s="1"/>
    </row>
    <row r="144" spans="1:17" s="9" customFormat="1" x14ac:dyDescent="0.25">
      <c r="A144" s="23"/>
      <c r="B144" s="16" t="s">
        <v>291</v>
      </c>
      <c r="C144" s="22"/>
      <c r="D144" s="3">
        <f>--172008.31</f>
        <v>172008.31</v>
      </c>
      <c r="E144" s="3">
        <f t="shared" ref="E144:F144" si="20">0</f>
        <v>0</v>
      </c>
      <c r="F144" s="3">
        <f t="shared" si="20"/>
        <v>0</v>
      </c>
      <c r="G144" s="3">
        <f>--20979.2</f>
        <v>20979.200000000001</v>
      </c>
      <c r="H144" s="3">
        <f>--14886.94</f>
        <v>14886.94</v>
      </c>
      <c r="I144" s="3">
        <f>-1666.87</f>
        <v>-1666.87</v>
      </c>
      <c r="J144" s="3">
        <f>--15571.57</f>
        <v>15571.57</v>
      </c>
      <c r="K144" s="3">
        <f>-3986.08</f>
        <v>-3986.08</v>
      </c>
      <c r="L144" s="3">
        <f>--175014.7</f>
        <v>175014.7</v>
      </c>
      <c r="M144" s="3">
        <f>--18017.01</f>
        <v>18017.009999999998</v>
      </c>
      <c r="N144" s="3">
        <v>8075</v>
      </c>
      <c r="O144" s="3">
        <v>221695</v>
      </c>
      <c r="Q144" s="2">
        <f>SUM(OSRRefD23_0x)+IFERROR(SUM(OSRRefE23_0x),0)</f>
        <v>640594.78</v>
      </c>
    </row>
    <row r="145" spans="1:17" x14ac:dyDescent="0.25">
      <c r="A145" s="5"/>
      <c r="B145" s="6"/>
      <c r="C145" s="6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</row>
    <row r="146" spans="1:17" s="15" customFormat="1" x14ac:dyDescent="0.25">
      <c r="A146" s="6"/>
      <c r="B146" s="17" t="s">
        <v>274</v>
      </c>
      <c r="C146" s="17"/>
      <c r="D146" s="8">
        <f t="shared" ref="D146:O146" si="21">IFERROR(+D75-D78+D144, 0)</f>
        <v>180028.35999999996</v>
      </c>
      <c r="E146" s="8">
        <f t="shared" si="21"/>
        <v>56376.299999999959</v>
      </c>
      <c r="F146" s="8">
        <f t="shared" si="21"/>
        <v>-12611.210000000014</v>
      </c>
      <c r="G146" s="8">
        <f t="shared" si="21"/>
        <v>11648.599999999959</v>
      </c>
      <c r="H146" s="8">
        <f t="shared" si="21"/>
        <v>15855.820000000005</v>
      </c>
      <c r="I146" s="8">
        <f t="shared" si="21"/>
        <v>30187.109999999975</v>
      </c>
      <c r="J146" s="8">
        <f t="shared" si="21"/>
        <v>25487.780000000042</v>
      </c>
      <c r="K146" s="8">
        <f t="shared" si="21"/>
        <v>2637.8099999999995</v>
      </c>
      <c r="L146" s="8">
        <f t="shared" si="21"/>
        <v>196567.65999999997</v>
      </c>
      <c r="M146" s="8">
        <f t="shared" si="21"/>
        <v>152582.72999999981</v>
      </c>
      <c r="N146" s="8">
        <f t="shared" si="21"/>
        <v>33682.888641999976</v>
      </c>
      <c r="O146" s="8">
        <f t="shared" si="21"/>
        <v>229564.73762719997</v>
      </c>
      <c r="Q146" s="8">
        <f>IFERROR(+Q75-Q78+Q144, 0)</f>
        <v>922008.5862691995</v>
      </c>
    </row>
    <row r="147" spans="1:17" s="6" customFormat="1" x14ac:dyDescent="0.25">
      <c r="B147" s="16"/>
      <c r="C147" s="16"/>
      <c r="D147" s="4">
        <f t="shared" ref="D147:O147" si="22">IFERROR(D146/D10, 0)</f>
        <v>1.217221649203978</v>
      </c>
      <c r="E147" s="4">
        <f t="shared" si="22"/>
        <v>0.19557378933856534</v>
      </c>
      <c r="F147" s="4">
        <f t="shared" si="22"/>
        <v>-0.13444590414830843</v>
      </c>
      <c r="G147" s="4">
        <f t="shared" si="22"/>
        <v>0.12054598890636603</v>
      </c>
      <c r="H147" s="4">
        <f t="shared" si="22"/>
        <v>0.19044348637087302</v>
      </c>
      <c r="I147" s="4">
        <f t="shared" si="22"/>
        <v>0.17176099527814023</v>
      </c>
      <c r="J147" s="4">
        <f t="shared" si="22"/>
        <v>0.1800756779372964</v>
      </c>
      <c r="K147" s="4">
        <f t="shared" si="22"/>
        <v>2.6445008516046448E-2</v>
      </c>
      <c r="L147" s="4">
        <f t="shared" si="22"/>
        <v>1.3774383741927327</v>
      </c>
      <c r="M147" s="4">
        <f t="shared" si="22"/>
        <v>0.41678598037682779</v>
      </c>
      <c r="N147" s="4">
        <f t="shared" si="22"/>
        <v>0.18758465725853596</v>
      </c>
      <c r="O147" s="4">
        <f t="shared" si="22"/>
        <v>1.6512360107260511</v>
      </c>
      <c r="P147" s="18"/>
      <c r="Q147" s="4">
        <f>IFERROR(Q146/Q10, 0)</f>
        <v>0.47179044411334242</v>
      </c>
    </row>
    <row r="148" spans="1:17" x14ac:dyDescent="0.25">
      <c r="A148" s="5"/>
      <c r="B148" s="6"/>
      <c r="C148" s="5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</row>
    <row r="149" spans="1:17" s="15" customFormat="1" x14ac:dyDescent="0.25">
      <c r="A149" s="25"/>
      <c r="B149" s="6" t="s">
        <v>125</v>
      </c>
      <c r="C149" s="6"/>
      <c r="D149" s="3">
        <v>75751.09</v>
      </c>
      <c r="E149" s="3">
        <v>-2110.92</v>
      </c>
      <c r="F149" s="3">
        <v>24538.2</v>
      </c>
      <c r="G149" s="3">
        <v>37555.699999999997</v>
      </c>
      <c r="H149" s="3">
        <v>-22938.45</v>
      </c>
      <c r="I149" s="3">
        <v>56796.39</v>
      </c>
      <c r="J149" s="3">
        <v>16861.57</v>
      </c>
      <c r="K149" s="3">
        <v>36710.89</v>
      </c>
      <c r="L149" s="3">
        <v>38488.269999999997</v>
      </c>
      <c r="M149" s="3">
        <v>80539.97</v>
      </c>
      <c r="N149" s="3">
        <v>80727</v>
      </c>
      <c r="O149" s="3">
        <v>64360</v>
      </c>
      <c r="Q149" s="2">
        <f>SUM(OSRRefD28_0x)+IFERROR(SUM(OSRRefE28_0x),0)</f>
        <v>487279.71</v>
      </c>
    </row>
    <row r="150" spans="1:17" x14ac:dyDescent="0.25">
      <c r="A150" s="5"/>
      <c r="B150" s="6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ht="15.75" thickBot="1" x14ac:dyDescent="0.3">
      <c r="A151" s="6"/>
      <c r="B151" s="17" t="s">
        <v>124</v>
      </c>
      <c r="C151" s="17"/>
      <c r="D151" s="7">
        <f t="shared" ref="D151:O151" si="23">IFERROR(+D146-D149, 0)</f>
        <v>104277.26999999996</v>
      </c>
      <c r="E151" s="7">
        <f t="shared" si="23"/>
        <v>58487.219999999958</v>
      </c>
      <c r="F151" s="7">
        <f t="shared" si="23"/>
        <v>-37149.410000000018</v>
      </c>
      <c r="G151" s="7">
        <f t="shared" si="23"/>
        <v>-25907.100000000039</v>
      </c>
      <c r="H151" s="7">
        <f t="shared" si="23"/>
        <v>38794.270000000004</v>
      </c>
      <c r="I151" s="7">
        <f t="shared" si="23"/>
        <v>-26609.280000000024</v>
      </c>
      <c r="J151" s="7">
        <f t="shared" si="23"/>
        <v>8626.2100000000428</v>
      </c>
      <c r="K151" s="7">
        <f t="shared" si="23"/>
        <v>-34073.08</v>
      </c>
      <c r="L151" s="7">
        <f t="shared" si="23"/>
        <v>158079.38999999998</v>
      </c>
      <c r="M151" s="7">
        <f t="shared" si="23"/>
        <v>72042.759999999806</v>
      </c>
      <c r="N151" s="7">
        <f t="shared" si="23"/>
        <v>-47044.111358000024</v>
      </c>
      <c r="O151" s="7">
        <f t="shared" si="23"/>
        <v>165204.73762719997</v>
      </c>
      <c r="Q151" s="7">
        <f>IFERROR(+Q146-Q149, 0)</f>
        <v>434728.87626919948</v>
      </c>
    </row>
    <row r="152" spans="1:17" ht="15.75" thickTop="1" x14ac:dyDescent="0.25">
      <c r="A152" s="5"/>
      <c r="B152" s="5"/>
      <c r="C152" s="5"/>
      <c r="D152" s="4">
        <f t="shared" ref="D152:O152" si="24">IFERROR(D151/D10, 0)</f>
        <v>0.70504753008852872</v>
      </c>
      <c r="E152" s="4">
        <f t="shared" si="24"/>
        <v>0.20289673574318154</v>
      </c>
      <c r="F152" s="4">
        <f t="shared" si="24"/>
        <v>-0.39604336269289048</v>
      </c>
      <c r="G152" s="4">
        <f t="shared" si="24"/>
        <v>-0.26810062919115868</v>
      </c>
      <c r="H152" s="4">
        <f t="shared" si="24"/>
        <v>0.46595609877085931</v>
      </c>
      <c r="I152" s="4">
        <f t="shared" si="24"/>
        <v>-0.15140357644155797</v>
      </c>
      <c r="J152" s="4">
        <f t="shared" si="24"/>
        <v>6.094570079385065E-2</v>
      </c>
      <c r="K152" s="4">
        <f t="shared" si="24"/>
        <v>-0.3415950696858121</v>
      </c>
      <c r="L152" s="4">
        <f t="shared" si="24"/>
        <v>1.1077336829210815</v>
      </c>
      <c r="M152" s="4">
        <f t="shared" si="24"/>
        <v>0.1967877515080014</v>
      </c>
      <c r="N152" s="4">
        <f t="shared" si="24"/>
        <v>-0.26199515127449735</v>
      </c>
      <c r="O152" s="4">
        <f t="shared" si="24"/>
        <v>1.1883010201487489</v>
      </c>
      <c r="P152" s="18"/>
      <c r="Q152" s="4">
        <f>IFERROR(Q151/Q10, 0)</f>
        <v>0.22245012970416791</v>
      </c>
    </row>
    <row r="153" spans="1:17" x14ac:dyDescent="0.25">
      <c r="A153" s="5"/>
      <c r="B153" s="5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x14ac:dyDescent="0.25">
      <c r="A154" s="5"/>
      <c r="B154" s="5"/>
      <c r="C154" s="5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ht="15.75" thickBot="1" x14ac:dyDescent="0.3">
      <c r="A155" s="6"/>
      <c r="B155" s="17" t="s">
        <v>292</v>
      </c>
      <c r="C155" s="17"/>
      <c r="D155" s="7">
        <f t="shared" ref="D155:O155" si="25">IFERROR(SUM(D151:D154), 0)</f>
        <v>104277.97504753005</v>
      </c>
      <c r="E155" s="7">
        <f t="shared" si="25"/>
        <v>58487.422896735698</v>
      </c>
      <c r="F155" s="7">
        <f t="shared" si="25"/>
        <v>-37149.806043362711</v>
      </c>
      <c r="G155" s="7">
        <f t="shared" si="25"/>
        <v>-25907.368100629228</v>
      </c>
      <c r="H155" s="7">
        <f t="shared" si="25"/>
        <v>38794.735956098775</v>
      </c>
      <c r="I155" s="7">
        <f t="shared" si="25"/>
        <v>-26609.431403576466</v>
      </c>
      <c r="J155" s="7">
        <f t="shared" si="25"/>
        <v>8626.2709457008368</v>
      </c>
      <c r="K155" s="7">
        <f t="shared" si="25"/>
        <v>-34073.421595069689</v>
      </c>
      <c r="L155" s="7">
        <f t="shared" si="25"/>
        <v>158080.49773368292</v>
      </c>
      <c r="M155" s="7">
        <f t="shared" si="25"/>
        <v>72042.956787751318</v>
      </c>
      <c r="N155" s="7">
        <f t="shared" si="25"/>
        <v>-47044.373353151299</v>
      </c>
      <c r="O155" s="7">
        <f t="shared" si="25"/>
        <v>165205.92592822012</v>
      </c>
      <c r="Q155" s="7">
        <f>IFERROR(SUM(Q151:Q154), 0)</f>
        <v>434729.09871932917</v>
      </c>
    </row>
    <row r="156" spans="1:17" ht="15.75" thickTop="1" x14ac:dyDescent="0.25">
      <c r="A156" s="5"/>
      <c r="C156" s="5"/>
      <c r="D156" s="4">
        <f t="shared" ref="D156:O156" si="26">IFERROR(D155/D10, 0)</f>
        <v>0.70505229711033213</v>
      </c>
      <c r="E156" s="4">
        <f t="shared" si="26"/>
        <v>0.20289743960780998</v>
      </c>
      <c r="F156" s="4">
        <f t="shared" si="26"/>
        <v>-0.39604758484191338</v>
      </c>
      <c r="G156" s="4">
        <f t="shared" si="26"/>
        <v>-0.2681034036409185</v>
      </c>
      <c r="H156" s="4">
        <f t="shared" si="26"/>
        <v>0.46596169534700266</v>
      </c>
      <c r="I156" s="4">
        <f t="shared" si="26"/>
        <v>-0.15140443790954808</v>
      </c>
      <c r="J156" s="4">
        <f t="shared" si="26"/>
        <v>6.0946131386016303E-2</v>
      </c>
      <c r="K156" s="4">
        <f t="shared" si="26"/>
        <v>-0.34159849430112821</v>
      </c>
      <c r="L156" s="4">
        <f t="shared" si="26"/>
        <v>1.1077414453113101</v>
      </c>
      <c r="M156" s="4">
        <f t="shared" si="26"/>
        <v>0.19678828904180973</v>
      </c>
      <c r="N156" s="4">
        <f t="shared" si="26"/>
        <v>-0.26199661036166705</v>
      </c>
      <c r="O156" s="4">
        <f t="shared" si="26"/>
        <v>1.1883095674781705</v>
      </c>
      <c r="P156" s="18"/>
      <c r="Q156" s="4">
        <f>IFERROR(Q155/Q10, 0)</f>
        <v>0.22245024353157369</v>
      </c>
    </row>
    <row r="157" spans="1:17" x14ac:dyDescent="0.25">
      <c r="A157" s="5"/>
      <c r="B157" s="27">
        <v>44330.012769791669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Q157" s="13"/>
    </row>
    <row r="158" spans="1:17" x14ac:dyDescent="0.25">
      <c r="A158" s="5"/>
      <c r="B158" s="31" t="s">
        <v>54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Q158" s="13"/>
    </row>
    <row r="159" spans="1:17" x14ac:dyDescent="0.25">
      <c r="A159" s="5"/>
      <c r="B159" s="26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Q159" s="13"/>
    </row>
    <row r="160" spans="1:17" x14ac:dyDescent="0.25"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Q16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3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SUM(OSRRefD11x_7)</f>
        <v>20568.219999999998</v>
      </c>
      <c r="L10" s="3">
        <f>SUM(OSRRefD11x_8)</f>
        <v>24047.499999999993</v>
      </c>
      <c r="M10" s="3">
        <f>SUM(OSRRefD11x_9)</f>
        <v>43018.909999999996</v>
      </c>
      <c r="N10" s="3">
        <f>SUM(OSRRefE11x_0)</f>
        <v>35523</v>
      </c>
      <c r="O10" s="3">
        <f>SUM(OSRRefE11x_1)</f>
        <v>36875</v>
      </c>
      <c r="P10" s="24"/>
      <c r="Q10" s="3">
        <f>SUM(OSRRefG11x)</f>
        <v>323702.83000000007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f>-677.62</f>
        <v>-677.62</v>
      </c>
      <c r="L11" s="2">
        <f>-458.77</f>
        <v>-458.77</v>
      </c>
      <c r="M11" s="2">
        <f>-489.98</f>
        <v>-489.98</v>
      </c>
      <c r="N11" s="2">
        <v>35523</v>
      </c>
      <c r="O11" s="2">
        <v>36875</v>
      </c>
      <c r="Q11" s="2">
        <f>SUM(OSRRefD11_0x)+IFERROR(SUM(OSRRefE11_0x),0)</f>
        <v>66405.509999999995</v>
      </c>
    </row>
    <row r="12" spans="1:18" s="9" customFormat="1" hidden="1" outlineLevel="1" x14ac:dyDescent="0.25">
      <c r="A12" s="23"/>
      <c r="B12" s="10" t="str">
        <f>CONCATENATE("          ","4026", " - ","TAXABLE SALES-WRITING INSTRUME")</f>
        <v xml:space="preserve">          4026 - TAXABLE SALES-WRITING INSTRUME</v>
      </c>
      <c r="C12" s="22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/>
      <c r="O12" s="2"/>
      <c r="Q12" s="2">
        <f>SUM(OSRRefD11_1x)+IFERROR(SUM(OSRRefE11_1x),0)</f>
        <v>246.67000000000002</v>
      </c>
    </row>
    <row r="13" spans="1:18" s="9" customFormat="1" hidden="1" outlineLevel="1" x14ac:dyDescent="0.25">
      <c r="A13" s="23"/>
      <c r="B13" s="10" t="str">
        <f>CONCATENATE("          ","4027", " - ","TAXABLE SALES-SCHOOL SUPPLIES")</f>
        <v xml:space="preserve">          4027 - TAXABLE SALES-SCHOOL SUPPLIES</v>
      </c>
      <c r="C13" s="22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>
        <f>--42.77</f>
        <v>42.77</v>
      </c>
      <c r="L13" s="2">
        <f>--59.17</f>
        <v>59.17</v>
      </c>
      <c r="M13" s="2">
        <f>--20.87</f>
        <v>20.87</v>
      </c>
      <c r="N13" s="2"/>
      <c r="O13" s="2"/>
      <c r="Q13" s="2">
        <f>SUM(OSRRefD11_2x)+IFERROR(SUM(OSRRefE11_2x),0)</f>
        <v>413.92</v>
      </c>
    </row>
    <row r="14" spans="1:18" s="9" customFormat="1" hidden="1" outlineLevel="1" x14ac:dyDescent="0.25">
      <c r="A14" s="23"/>
      <c r="B14" s="10" t="str">
        <f>CONCATENATE("          ","4028", " - ","TAXABLE SALES-ART/TECH")</f>
        <v xml:space="preserve">          4028 - TAXABLE SALES-ART/TECH</v>
      </c>
      <c r="C14" s="22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>
        <f t="shared" ref="K14:M14" si="2">0</f>
        <v>0</v>
      </c>
      <c r="L14" s="2">
        <f t="shared" si="2"/>
        <v>0</v>
      </c>
      <c r="M14" s="2">
        <f t="shared" si="2"/>
        <v>0</v>
      </c>
      <c r="N14" s="2"/>
      <c r="O14" s="2"/>
      <c r="Q14" s="2">
        <f>SUM(OSRRefD11_3x)+IFERROR(SUM(OSRRefE11_3x),0)</f>
        <v>29.24</v>
      </c>
    </row>
    <row r="15" spans="1:18" s="9" customFormat="1" hidden="1" outlineLevel="1" x14ac:dyDescent="0.25">
      <c r="A15" s="23"/>
      <c r="B15" s="10" t="str">
        <f>CONCATENATE("          ","4040", " - ","TAXABLE SALES-LOGO CLOTHING")</f>
        <v xml:space="preserve">          4040 - TAXABLE SALES-LOGO CLOTHING</v>
      </c>
      <c r="C15" s="22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>
        <f>--17759.12</f>
        <v>17759.12</v>
      </c>
      <c r="L15" s="2">
        <f>--19717.6</f>
        <v>19717.599999999999</v>
      </c>
      <c r="M15" s="2">
        <f>--38261.94</f>
        <v>38261.94</v>
      </c>
      <c r="N15" s="2"/>
      <c r="O15" s="2"/>
      <c r="Q15" s="2">
        <f>SUM(OSRRefD11_4x)+IFERROR(SUM(OSRRefE11_4x),0)</f>
        <v>211719.58000000002</v>
      </c>
    </row>
    <row r="16" spans="1:18" s="9" customFormat="1" hidden="1" outlineLevel="1" x14ac:dyDescent="0.25">
      <c r="A16" s="23"/>
      <c r="B16" s="10" t="str">
        <f>CONCATENATE("          ","4041", " - ","TAXABLE SALES-LOGO GIFTS")</f>
        <v xml:space="preserve">          4041 - TAXABLE SALES-LOGO GIFTS</v>
      </c>
      <c r="C16" s="22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>
        <f>--2616.11</f>
        <v>2616.11</v>
      </c>
      <c r="L16" s="2">
        <f>--2923.25</f>
        <v>2923.25</v>
      </c>
      <c r="M16" s="2">
        <f>--4675.99</f>
        <v>4675.99</v>
      </c>
      <c r="N16" s="2"/>
      <c r="O16" s="2"/>
      <c r="Q16" s="2">
        <f>SUM(OSRRefD11_5x)+IFERROR(SUM(OSRRefE11_5x),0)</f>
        <v>31513.33</v>
      </c>
    </row>
    <row r="17" spans="1:17" s="9" customFormat="1" hidden="1" outlineLevel="1" x14ac:dyDescent="0.25">
      <c r="A17" s="23"/>
      <c r="B17" s="10" t="str">
        <f>CONCATENATE("          ","4042", " - ","TAXABLE SALES-EVERYDAY GIFTS")</f>
        <v xml:space="preserve">          4042 - TAXABLE SALES-EVERYDAY GIFTS</v>
      </c>
      <c r="C17" s="22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>
        <f>--283.35</f>
        <v>283.35000000000002</v>
      </c>
      <c r="L17" s="2">
        <f>--1309.35</f>
        <v>1309.3499999999999</v>
      </c>
      <c r="M17" s="2">
        <f>--972.22</f>
        <v>972.22</v>
      </c>
      <c r="N17" s="2"/>
      <c r="O17" s="2"/>
      <c r="Q17" s="2">
        <f>SUM(OSRRefD11_6x)+IFERROR(SUM(OSRRefE11_6x),0)</f>
        <v>9191.25</v>
      </c>
    </row>
    <row r="18" spans="1:17" s="9" customFormat="1" hidden="1" outlineLevel="1" x14ac:dyDescent="0.25">
      <c r="A18" s="23"/>
      <c r="B18" s="10" t="str">
        <f>CONCATENATE("          ","4043", " - ","TAXABLE SALES-CARDS")</f>
        <v xml:space="preserve">          4043 - TAXABLE SALES-CARDS</v>
      </c>
      <c r="C18" s="22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>
        <f>--1351.69</f>
        <v>1351.69</v>
      </c>
      <c r="L18" s="2">
        <f>--1132.96</f>
        <v>1132.96</v>
      </c>
      <c r="M18" s="2">
        <f>--257.35</f>
        <v>257.35000000000002</v>
      </c>
      <c r="N18" s="2"/>
      <c r="O18" s="2"/>
      <c r="Q18" s="2">
        <f>SUM(OSRRefD11_7x)+IFERROR(SUM(OSRRefE11_7x),0)</f>
        <v>10947.250000000002</v>
      </c>
    </row>
    <row r="19" spans="1:17" s="9" customFormat="1" hidden="1" outlineLevel="1" x14ac:dyDescent="0.25">
      <c r="A19" s="23"/>
      <c r="B19" s="10" t="str">
        <f>CONCATENATE("          ","4044", " - ","TAXABLE SALES-ACCESSORIES")</f>
        <v xml:space="preserve">          4044 - TAXABLE SALES-ACCESSORIES</v>
      </c>
      <c r="C19" s="22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>
        <f>--237.58</f>
        <v>237.58</v>
      </c>
      <c r="L19" s="2">
        <f>--140.64</f>
        <v>140.63999999999999</v>
      </c>
      <c r="M19" s="2">
        <f>--489.86</f>
        <v>489.86</v>
      </c>
      <c r="N19" s="2"/>
      <c r="O19" s="2"/>
      <c r="Q19" s="2">
        <f>SUM(OSRRefD11_8x)+IFERROR(SUM(OSRRefE11_8x),0)</f>
        <v>2801.25</v>
      </c>
    </row>
    <row r="20" spans="1:17" s="9" customFormat="1" hidden="1" outlineLevel="1" x14ac:dyDescent="0.25">
      <c r="A20" s="23"/>
      <c r="B20" s="10" t="str">
        <f>CONCATENATE("          ","4045", " - ","TAXABLE SALES-SPECIAL ORDERS")</f>
        <v xml:space="preserve">          4045 - TAXABLE SALES-SPECIAL ORDERS</v>
      </c>
      <c r="C20" s="22"/>
      <c r="D20" s="2">
        <f t="shared" ref="D20:E20" si="3">0</f>
        <v>0</v>
      </c>
      <c r="E20" s="2">
        <f t="shared" si="3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4">0</f>
        <v>0</v>
      </c>
      <c r="K20" s="2">
        <f t="shared" ref="K20:M20" si="5">0</f>
        <v>0</v>
      </c>
      <c r="L20" s="2">
        <f t="shared" si="5"/>
        <v>0</v>
      </c>
      <c r="M20" s="2">
        <f t="shared" si="5"/>
        <v>0</v>
      </c>
      <c r="N20" s="2"/>
      <c r="O20" s="2"/>
      <c r="Q20" s="2">
        <f>SUM(OSRRefD11_9x)+IFERROR(SUM(OSRRefE11_9x),0)</f>
        <v>326.36999999999995</v>
      </c>
    </row>
    <row r="21" spans="1:17" s="9" customFormat="1" hidden="1" outlineLevel="1" x14ac:dyDescent="0.25">
      <c r="A21" s="23"/>
      <c r="B21" s="10" t="str">
        <f>CONCATENATE("          ","4131", " - ","NON-TAXABLE SALES-FOOD")</f>
        <v xml:space="preserve">          4131 - NON-TAXABLE SALES-FOOD</v>
      </c>
      <c r="C21" s="22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4"/>
        <v>0</v>
      </c>
      <c r="K21" s="2">
        <f>--4.5</f>
        <v>4.5</v>
      </c>
      <c r="L21" s="2">
        <f>--3</f>
        <v>3</v>
      </c>
      <c r="M21" s="2">
        <f>--15</f>
        <v>15</v>
      </c>
      <c r="N21" s="2"/>
      <c r="O21" s="2"/>
      <c r="Q21" s="2">
        <f>SUM(OSRRefD11_10x)+IFERROR(SUM(OSRRefE11_10x),0)</f>
        <v>60</v>
      </c>
    </row>
    <row r="22" spans="1:17" s="9" customFormat="1" hidden="1" outlineLevel="1" x14ac:dyDescent="0.25">
      <c r="A22" s="23"/>
      <c r="B22" s="10" t="str">
        <f>CONCATENATE("          ","4137", " - ","NON-TAXABLE SALES-WATER")</f>
        <v xml:space="preserve">          4137 - NON-TAXABLE SALES-WATER</v>
      </c>
      <c r="C22" s="22"/>
      <c r="D22" s="2">
        <f>--9</f>
        <v>9</v>
      </c>
      <c r="E22" s="2">
        <f t="shared" ref="E22:I22" si="6">0</f>
        <v>0</v>
      </c>
      <c r="F22" s="2">
        <f t="shared" si="6"/>
        <v>0</v>
      </c>
      <c r="G22" s="2">
        <f t="shared" si="6"/>
        <v>0</v>
      </c>
      <c r="H22" s="2">
        <f t="shared" si="6"/>
        <v>0</v>
      </c>
      <c r="I22" s="2">
        <f t="shared" si="6"/>
        <v>0</v>
      </c>
      <c r="J22" s="2">
        <f t="shared" si="4"/>
        <v>0</v>
      </c>
      <c r="K22" s="2">
        <f t="shared" ref="K22:K26" si="7">0</f>
        <v>0</v>
      </c>
      <c r="L22" s="2">
        <f t="shared" ref="L22:M22" si="8">0</f>
        <v>0</v>
      </c>
      <c r="M22" s="2">
        <f t="shared" si="8"/>
        <v>0</v>
      </c>
      <c r="N22" s="2"/>
      <c r="O22" s="2"/>
      <c r="Q22" s="2">
        <f>SUM(OSRRefD11_11x)+IFERROR(SUM(OSRRefE11_11x),0)</f>
        <v>9</v>
      </c>
    </row>
    <row r="23" spans="1:17" s="9" customFormat="1" hidden="1" outlineLevel="1" x14ac:dyDescent="0.25">
      <c r="A23" s="23"/>
      <c r="B23" s="10" t="str">
        <f>CONCATENATE("          ","4140", " - ","NON-TAXABLE SALES-LOGO CLOTHIN")</f>
        <v xml:space="preserve">          4140 - NON-TAXABLE SALES-LOGO CLOTHIN</v>
      </c>
      <c r="C23" s="22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9">0</f>
        <v>0</v>
      </c>
      <c r="J23" s="2">
        <f t="shared" si="4"/>
        <v>0</v>
      </c>
      <c r="K23" s="2">
        <f t="shared" si="7"/>
        <v>0</v>
      </c>
      <c r="L23" s="2">
        <f>--33.71</f>
        <v>33.71</v>
      </c>
      <c r="M23" s="2">
        <f>--124.85</f>
        <v>124.85</v>
      </c>
      <c r="N23" s="2"/>
      <c r="O23" s="2"/>
      <c r="Q23" s="2">
        <f>SUM(OSRRefD11_12x)+IFERROR(SUM(OSRRefE11_12x),0)</f>
        <v>324.33999999999997</v>
      </c>
    </row>
    <row r="24" spans="1:17" s="9" customFormat="1" hidden="1" outlineLevel="1" x14ac:dyDescent="0.25">
      <c r="A24" s="23"/>
      <c r="B24" s="10" t="str">
        <f>CONCATENATE("          ","4145", " - ","NON-TAXABLE SALES-SPECIAL ORDE")</f>
        <v xml:space="preserve">          4145 - NON-TAXABLE SALES-SPECIAL ORDE</v>
      </c>
      <c r="C24" s="22"/>
      <c r="D24" s="2">
        <f>--7</f>
        <v>7</v>
      </c>
      <c r="E24" s="2">
        <f t="shared" ref="E24:E26" si="10">0</f>
        <v>0</v>
      </c>
      <c r="F24" s="2">
        <f t="shared" ref="F24:H24" si="11">0</f>
        <v>0</v>
      </c>
      <c r="G24" s="2">
        <f t="shared" si="11"/>
        <v>0</v>
      </c>
      <c r="H24" s="2">
        <f t="shared" si="11"/>
        <v>0</v>
      </c>
      <c r="I24" s="2">
        <f t="shared" si="9"/>
        <v>0</v>
      </c>
      <c r="J24" s="2">
        <f t="shared" si="4"/>
        <v>0</v>
      </c>
      <c r="K24" s="2">
        <f t="shared" si="7"/>
        <v>0</v>
      </c>
      <c r="L24" s="2">
        <f t="shared" ref="L24:M26" si="12">0</f>
        <v>0</v>
      </c>
      <c r="M24" s="2">
        <f t="shared" si="12"/>
        <v>0</v>
      </c>
      <c r="N24" s="2"/>
      <c r="O24" s="2"/>
      <c r="Q24" s="2">
        <f>SUM(OSRRefD11_13x)+IFERROR(SUM(OSRRefE11_13x),0)</f>
        <v>7</v>
      </c>
    </row>
    <row r="25" spans="1:17" s="9" customFormat="1" hidden="1" outlineLevel="1" x14ac:dyDescent="0.25">
      <c r="A25" s="23"/>
      <c r="B25" s="10" t="str">
        <f>CONCATENATE("          ","4226", " - ","SALES RETURN TAXABLE-WRITING I")</f>
        <v xml:space="preserve">          4226 - SALES RETURN TAXABLE-WRITING I</v>
      </c>
      <c r="C25" s="22"/>
      <c r="D25" s="2">
        <f>0</f>
        <v>0</v>
      </c>
      <c r="E25" s="2">
        <f t="shared" si="10"/>
        <v>0</v>
      </c>
      <c r="F25" s="2">
        <f>-22.49</f>
        <v>-22.49</v>
      </c>
      <c r="G25" s="2">
        <f>-5.36</f>
        <v>-5.36</v>
      </c>
      <c r="H25" s="2">
        <f t="shared" ref="H25:H26" si="13">0</f>
        <v>0</v>
      </c>
      <c r="I25" s="2">
        <f t="shared" si="9"/>
        <v>0</v>
      </c>
      <c r="J25" s="2">
        <f t="shared" si="4"/>
        <v>0</v>
      </c>
      <c r="K25" s="2">
        <f t="shared" si="7"/>
        <v>0</v>
      </c>
      <c r="L25" s="2">
        <f t="shared" si="12"/>
        <v>0</v>
      </c>
      <c r="M25" s="2">
        <f t="shared" si="12"/>
        <v>0</v>
      </c>
      <c r="N25" s="2"/>
      <c r="O25" s="2"/>
      <c r="Q25" s="2">
        <f>SUM(OSRRefD11_14x)+IFERROR(SUM(OSRRefE11_14x),0)</f>
        <v>-27.849999999999998</v>
      </c>
    </row>
    <row r="26" spans="1:17" s="9" customFormat="1" hidden="1" outlineLevel="1" x14ac:dyDescent="0.25">
      <c r="A26" s="23"/>
      <c r="B26" s="10" t="str">
        <f>CONCATENATE("          ","4227", " - ","SALES RETURN TAXABLE-SCHOOL SU")</f>
        <v xml:space="preserve">          4227 - SALES RETURN TAXABLE-SCHOOL SU</v>
      </c>
      <c r="C26" s="22"/>
      <c r="D26" s="2">
        <f>-30</f>
        <v>-30</v>
      </c>
      <c r="E26" s="2">
        <f t="shared" si="10"/>
        <v>0</v>
      </c>
      <c r="F26" s="2">
        <f t="shared" ref="F26:G26" si="14">0</f>
        <v>0</v>
      </c>
      <c r="G26" s="2">
        <f t="shared" si="14"/>
        <v>0</v>
      </c>
      <c r="H26" s="2">
        <f t="shared" si="13"/>
        <v>0</v>
      </c>
      <c r="I26" s="2">
        <f>-9.22</f>
        <v>-9.2200000000000006</v>
      </c>
      <c r="J26" s="2">
        <f>-3.99</f>
        <v>-3.99</v>
      </c>
      <c r="K26" s="2">
        <f t="shared" si="7"/>
        <v>0</v>
      </c>
      <c r="L26" s="2">
        <f t="shared" si="12"/>
        <v>0</v>
      </c>
      <c r="M26" s="2">
        <f t="shared" si="12"/>
        <v>0</v>
      </c>
      <c r="N26" s="2"/>
      <c r="O26" s="2"/>
      <c r="Q26" s="2">
        <f>SUM(OSRRefD11_15x)+IFERROR(SUM(OSRRefE11_15x),0)</f>
        <v>-43.21</v>
      </c>
    </row>
    <row r="27" spans="1:17" s="9" customFormat="1" hidden="1" outlineLevel="1" x14ac:dyDescent="0.25">
      <c r="A27" s="23"/>
      <c r="B27" s="10" t="str">
        <f>CONCATENATE("          ","4240", " - ","SALES RETURN TAXABLE-LOGO CLOT")</f>
        <v xml:space="preserve">          4240 - SALES RETURN TAXABLE-LOGO CLOT</v>
      </c>
      <c r="C27" s="22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>
        <f>-933.95</f>
        <v>-933.95</v>
      </c>
      <c r="L27" s="2">
        <f>-615.04</f>
        <v>-615.04</v>
      </c>
      <c r="M27" s="2">
        <f>-1244.91</f>
        <v>-1244.9100000000001</v>
      </c>
      <c r="N27" s="2"/>
      <c r="O27" s="2"/>
      <c r="Q27" s="2">
        <f>SUM(OSRRefD11_16x)+IFERROR(SUM(OSRRefE11_16x),0)</f>
        <v>-9196.23</v>
      </c>
    </row>
    <row r="28" spans="1:17" s="9" customFormat="1" hidden="1" outlineLevel="1" x14ac:dyDescent="0.25">
      <c r="A28" s="23"/>
      <c r="B28" s="10" t="str">
        <f>CONCATENATE("          ","4241", " - ","SALES RETURN TAXABLE-LOGO GIFT")</f>
        <v xml:space="preserve">          4241 - SALES RETURN TAXABLE-LOGO GIFT</v>
      </c>
      <c r="C28" s="22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>
        <f>-111.75</f>
        <v>-111.75</v>
      </c>
      <c r="L28" s="2">
        <f>-171.84</f>
        <v>-171.84</v>
      </c>
      <c r="M28" s="2">
        <f>-85.7</f>
        <v>-85.7</v>
      </c>
      <c r="N28" s="2"/>
      <c r="O28" s="2"/>
      <c r="Q28" s="2">
        <f>SUM(OSRRefD11_17x)+IFERROR(SUM(OSRRefE11_17x),0)</f>
        <v>-648.65000000000009</v>
      </c>
    </row>
    <row r="29" spans="1:17" s="9" customFormat="1" hidden="1" outlineLevel="1" x14ac:dyDescent="0.25">
      <c r="A29" s="23"/>
      <c r="B29" s="10" t="str">
        <f>CONCATENATE("          ","4242", " - ","SALES RETURN TAXABLE-EVERYDAY")</f>
        <v xml:space="preserve">          4242 - SALES RETURN TAXABLE-EVERYDAY</v>
      </c>
      <c r="C29" s="22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5">0</f>
        <v>0</v>
      </c>
      <c r="K29" s="2">
        <f>-44.96</f>
        <v>-44.96</v>
      </c>
      <c r="L29" s="2">
        <f>-29.95</f>
        <v>-29.95</v>
      </c>
      <c r="M29" s="2">
        <f t="shared" ref="M29:M31" si="16">0</f>
        <v>0</v>
      </c>
      <c r="N29" s="2"/>
      <c r="O29" s="2"/>
      <c r="Q29" s="2">
        <f>SUM(OSRRefD11_18x)+IFERROR(SUM(OSRRefE11_18x),0)</f>
        <v>-326.06</v>
      </c>
    </row>
    <row r="30" spans="1:17" s="9" customFormat="1" hidden="1" outlineLevel="1" x14ac:dyDescent="0.25">
      <c r="A30" s="23"/>
      <c r="B30" s="10" t="str">
        <f>CONCATENATE("          ","4244", " - ","SALES RETURN TAXABLE-ACCESSORI")</f>
        <v xml:space="preserve">          4244 - SALES RETURN TAXABLE-ACCESSORI</v>
      </c>
      <c r="C30" s="22"/>
      <c r="D30" s="2">
        <f t="shared" ref="D30:H30" si="17">0</f>
        <v>0</v>
      </c>
      <c r="E30" s="2">
        <f t="shared" si="17"/>
        <v>0</v>
      </c>
      <c r="F30" s="2">
        <f t="shared" si="17"/>
        <v>0</v>
      </c>
      <c r="G30" s="2">
        <f t="shared" si="17"/>
        <v>0</v>
      </c>
      <c r="H30" s="2">
        <f t="shared" si="17"/>
        <v>0</v>
      </c>
      <c r="I30" s="2">
        <f>-29.93</f>
        <v>-29.93</v>
      </c>
      <c r="J30" s="2">
        <f t="shared" si="15"/>
        <v>0</v>
      </c>
      <c r="K30" s="2">
        <f t="shared" ref="K30:K31" si="18">0</f>
        <v>0</v>
      </c>
      <c r="L30" s="2">
        <f>-12.95</f>
        <v>-12.95</v>
      </c>
      <c r="M30" s="2">
        <f t="shared" si="16"/>
        <v>0</v>
      </c>
      <c r="N30" s="2"/>
      <c r="O30" s="2"/>
      <c r="Q30" s="2">
        <f>SUM(OSRRefD11_19x)+IFERROR(SUM(OSRRefE11_19x),0)</f>
        <v>-42.879999999999995</v>
      </c>
    </row>
    <row r="31" spans="1:17" s="9" customFormat="1" hidden="1" outlineLevel="1" x14ac:dyDescent="0.25">
      <c r="A31" s="23"/>
      <c r="B31" s="10" t="str">
        <f>CONCATENATE("          ","4245", " - ","SALES RETURN TAXABLE-SPECIAL O")</f>
        <v xml:space="preserve">          4245 - SALES RETURN TAXABLE-SPECIAL O</v>
      </c>
      <c r="C31" s="22"/>
      <c r="D31" s="2">
        <f>-7</f>
        <v>-7</v>
      </c>
      <c r="E31" s="2">
        <f t="shared" ref="E31:I31" si="19">0</f>
        <v>0</v>
      </c>
      <c r="F31" s="2">
        <f t="shared" si="19"/>
        <v>0</v>
      </c>
      <c r="G31" s="2">
        <f t="shared" si="19"/>
        <v>0</v>
      </c>
      <c r="H31" s="2">
        <f t="shared" si="19"/>
        <v>0</v>
      </c>
      <c r="I31" s="2">
        <f t="shared" si="19"/>
        <v>0</v>
      </c>
      <c r="J31" s="2">
        <f t="shared" si="15"/>
        <v>0</v>
      </c>
      <c r="K31" s="2">
        <f t="shared" si="18"/>
        <v>0</v>
      </c>
      <c r="L31" s="2">
        <f>0</f>
        <v>0</v>
      </c>
      <c r="M31" s="2">
        <f t="shared" si="16"/>
        <v>0</v>
      </c>
      <c r="N31" s="2"/>
      <c r="O31" s="2"/>
      <c r="Q31" s="2">
        <f>SUM(OSRRefD11_20x)+IFERROR(SUM(OSRRefE11_20x),0)</f>
        <v>-7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25">
      <c r="A33" s="23"/>
      <c r="B33" s="16" t="s">
        <v>217</v>
      </c>
      <c r="C33" s="22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SUM(OSRRefD14x_7)</f>
        <v>9395</v>
      </c>
      <c r="L33" s="3">
        <f>SUM(OSRRefD14x_8)</f>
        <v>10821</v>
      </c>
      <c r="M33" s="3">
        <f>SUM(OSRRefD14x_9)</f>
        <v>17435</v>
      </c>
      <c r="N33" s="3">
        <f>SUM(OSRRefE14x_0)</f>
        <v>15274</v>
      </c>
      <c r="O33" s="3">
        <f>SUM(OSRRefE14x_1)</f>
        <v>15856</v>
      </c>
      <c r="Q33" s="3">
        <f>SUM(OSRRefG14x)</f>
        <v>141660</v>
      </c>
    </row>
    <row r="34" spans="1:17" s="9" customFormat="1" hidden="1" outlineLevel="1" x14ac:dyDescent="0.25">
      <c r="A34" s="23"/>
      <c r="B34" s="10" t="str">
        <f>CONCATENATE("          ","5000", " - ","PURCHASES @ COST")</f>
        <v xml:space="preserve">          5000 - PURCHASES @ COST</v>
      </c>
      <c r="C34" s="22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15274</v>
      </c>
      <c r="O34" s="2">
        <v>15856</v>
      </c>
      <c r="Q34" s="2">
        <f>SUM(OSRRefD14_0x)+IFERROR(SUM(OSRRefE14_0x),0)</f>
        <v>31130</v>
      </c>
    </row>
    <row r="35" spans="1:17" s="9" customFormat="1" hidden="1" outlineLevel="1" x14ac:dyDescent="0.25">
      <c r="A35" s="23"/>
      <c r="B35" s="10" t="str">
        <f>CONCATENATE("          ","5040", " - ","PURCHASES @ COST-LOGO CLOTHING")</f>
        <v xml:space="preserve">          5040 - PURCHASES @ COST-LOGO CLOTHING</v>
      </c>
      <c r="C35" s="22"/>
      <c r="D35" s="2"/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0</v>
      </c>
    </row>
    <row r="36" spans="1:17" s="9" customFormat="1" hidden="1" outlineLevel="1" x14ac:dyDescent="0.25">
      <c r="A36" s="23"/>
      <c r="B36" s="10" t="str">
        <f>CONCATENATE("          ","5041", " - ","PURCHASES @ COST-LOGO GIFTS")</f>
        <v xml:space="preserve">          5041 - PURCHASES @ COST-LOGO GIFTS</v>
      </c>
      <c r="C36" s="22"/>
      <c r="D36" s="2"/>
      <c r="E36" s="2"/>
      <c r="F36" s="2"/>
      <c r="G36" s="2">
        <v>207.6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207.6</v>
      </c>
    </row>
    <row r="37" spans="1:17" s="9" customFormat="1" hidden="1" outlineLevel="1" x14ac:dyDescent="0.25">
      <c r="A37" s="23"/>
      <c r="B37" s="10" t="str">
        <f>CONCATENATE("          ","5042", " - ","PURCHASES @ COST-EVERYDAY GIFT")</f>
        <v xml:space="preserve">          5042 - PURCHASES @ COST-EVERYDAY GIFT</v>
      </c>
      <c r="C37" s="22"/>
      <c r="D37" s="2"/>
      <c r="E37" s="2"/>
      <c r="F37" s="2"/>
      <c r="G37" s="2">
        <v>7946.04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7946.04</v>
      </c>
    </row>
    <row r="38" spans="1:17" s="9" customFormat="1" hidden="1" outlineLevel="1" x14ac:dyDescent="0.25">
      <c r="A38" s="23"/>
      <c r="B38" s="10" t="str">
        <f>CONCATENATE("          ","5086", " - ","PURCHASES @ COST-COMPUTER SUPP")</f>
        <v xml:space="preserve">          5086 - PURCHASES @ COST-COMPUTER SUPP</v>
      </c>
      <c r="C38" s="22"/>
      <c r="D38" s="2"/>
      <c r="E38" s="2"/>
      <c r="F38" s="2"/>
      <c r="G38" s="2"/>
      <c r="H38" s="2"/>
      <c r="I38" s="2"/>
      <c r="J38" s="2"/>
      <c r="K38" s="2">
        <v>13.21</v>
      </c>
      <c r="L38" s="2"/>
      <c r="M38" s="2"/>
      <c r="N38" s="2"/>
      <c r="O38" s="2"/>
      <c r="Q38" s="2">
        <f>SUM(OSRRefD14_4x)+IFERROR(SUM(OSRRefE14_4x),0)</f>
        <v>13.21</v>
      </c>
    </row>
    <row r="39" spans="1:17" s="9" customFormat="1" hidden="1" outlineLevel="1" x14ac:dyDescent="0.25">
      <c r="A39" s="23"/>
      <c r="B39" s="10" t="str">
        <f>CONCATENATE("          ","5200", " - ","PURCHASES OFFSET")</f>
        <v xml:space="preserve">          5200 - PURCHASES OFFSET</v>
      </c>
      <c r="C39" s="22"/>
      <c r="D39" s="2"/>
      <c r="E39" s="2"/>
      <c r="F39" s="2"/>
      <c r="G39" s="2">
        <v>-8153.64</v>
      </c>
      <c r="H39" s="2"/>
      <c r="I39" s="2"/>
      <c r="J39" s="2"/>
      <c r="K39" s="2">
        <v>-13.21</v>
      </c>
      <c r="L39" s="2"/>
      <c r="M39" s="2"/>
      <c r="N39" s="2"/>
      <c r="O39" s="2"/>
      <c r="Q39" s="2">
        <f>SUM(OSRRefD14_5x)+IFERROR(SUM(OSRRefE14_5x),0)</f>
        <v>-8166.85</v>
      </c>
    </row>
    <row r="40" spans="1:17" s="9" customFormat="1" hidden="1" outlineLevel="1" x14ac:dyDescent="0.25">
      <c r="A40" s="23"/>
      <c r="B40" s="10" t="str">
        <f>CONCATENATE("          ","5300", " - ","COG$ OFFSET")</f>
        <v xml:space="preserve">          5300 - COG$ OFFSET</v>
      </c>
      <c r="C40" s="22"/>
      <c r="D40" s="2">
        <v>10370</v>
      </c>
      <c r="E40" s="2">
        <v>8270</v>
      </c>
      <c r="F40" s="2">
        <v>9366</v>
      </c>
      <c r="G40" s="2">
        <v>7350</v>
      </c>
      <c r="H40" s="2">
        <v>8258</v>
      </c>
      <c r="I40" s="2">
        <v>19926</v>
      </c>
      <c r="J40" s="2">
        <v>9339</v>
      </c>
      <c r="K40" s="2">
        <v>9395</v>
      </c>
      <c r="L40" s="2">
        <v>10821</v>
      </c>
      <c r="M40" s="2">
        <v>17435</v>
      </c>
      <c r="N40" s="2"/>
      <c r="O40" s="2"/>
      <c r="Q40" s="2">
        <f>SUM(OSRRefD14_6x)+IFERROR(SUM(OSRRefE14_6x),0)</f>
        <v>110530</v>
      </c>
    </row>
    <row r="41" spans="1:17" x14ac:dyDescent="0.25">
      <c r="A41" s="5"/>
      <c r="B41" s="6"/>
      <c r="C41" s="6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x14ac:dyDescent="0.25">
      <c r="A42" s="6"/>
      <c r="B42" s="17" t="s">
        <v>105</v>
      </c>
      <c r="C42" s="17"/>
      <c r="D42" s="8">
        <f t="shared" ref="D42:O42" si="20">IFERROR(+D10-D33, 0)</f>
        <v>16509.770000000004</v>
      </c>
      <c r="E42" s="8">
        <f t="shared" si="20"/>
        <v>14527.32</v>
      </c>
      <c r="F42" s="8">
        <f t="shared" si="20"/>
        <v>10600.789999999997</v>
      </c>
      <c r="G42" s="8">
        <f t="shared" si="20"/>
        <v>11427.980000000003</v>
      </c>
      <c r="H42" s="8">
        <f t="shared" si="20"/>
        <v>9335.260000000002</v>
      </c>
      <c r="I42" s="8">
        <f t="shared" si="20"/>
        <v>18975.969999999987</v>
      </c>
      <c r="J42" s="8">
        <f t="shared" si="20"/>
        <v>9414.1099999999969</v>
      </c>
      <c r="K42" s="8">
        <f t="shared" si="20"/>
        <v>11173.219999999998</v>
      </c>
      <c r="L42" s="8">
        <f t="shared" si="20"/>
        <v>13226.499999999993</v>
      </c>
      <c r="M42" s="8">
        <f t="shared" si="20"/>
        <v>25583.909999999996</v>
      </c>
      <c r="N42" s="8">
        <f t="shared" si="20"/>
        <v>20249</v>
      </c>
      <c r="O42" s="8">
        <f t="shared" si="20"/>
        <v>21019</v>
      </c>
      <c r="Q42" s="8">
        <f>IFERROR(+Q10-Q33, 0)</f>
        <v>182042.83000000007</v>
      </c>
    </row>
    <row r="43" spans="1:17" s="6" customFormat="1" x14ac:dyDescent="0.25">
      <c r="B43" s="16"/>
      <c r="C43" s="16"/>
      <c r="D43" s="4">
        <f t="shared" ref="D43:O43" si="21">IFERROR(D42/D10, 0)</f>
        <v>0.61420800847626311</v>
      </c>
      <c r="E43" s="4">
        <f t="shared" si="21"/>
        <v>0.63723806131597927</v>
      </c>
      <c r="F43" s="4">
        <f t="shared" si="21"/>
        <v>0.53092109447737967</v>
      </c>
      <c r="G43" s="4">
        <f t="shared" si="21"/>
        <v>0.60858409690499193</v>
      </c>
      <c r="H43" s="4">
        <f t="shared" si="21"/>
        <v>0.53061570169485361</v>
      </c>
      <c r="I43" s="4">
        <f t="shared" si="21"/>
        <v>0.48778943585633305</v>
      </c>
      <c r="J43" s="4">
        <f t="shared" si="21"/>
        <v>0.50200260116855278</v>
      </c>
      <c r="K43" s="4">
        <f t="shared" si="21"/>
        <v>0.5432273672685336</v>
      </c>
      <c r="L43" s="4">
        <f t="shared" si="21"/>
        <v>0.5500155941366045</v>
      </c>
      <c r="M43" s="4">
        <f t="shared" si="21"/>
        <v>0.5947131156972596</v>
      </c>
      <c r="N43" s="4">
        <f t="shared" si="21"/>
        <v>0.57002505419024296</v>
      </c>
      <c r="O43" s="4">
        <f t="shared" si="21"/>
        <v>0.57000677966101698</v>
      </c>
      <c r="P43" s="18"/>
      <c r="Q43" s="4">
        <f>IFERROR(Q42/Q10, 0)</f>
        <v>0.56237639318754185</v>
      </c>
    </row>
    <row r="44" spans="1:17" x14ac:dyDescent="0.25">
      <c r="A44" s="5"/>
      <c r="B44" s="6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15" customFormat="1" x14ac:dyDescent="0.25">
      <c r="A45" s="6"/>
      <c r="B45" s="16" t="s">
        <v>254</v>
      </c>
      <c r="C45" s="6"/>
      <c r="D45" s="14">
        <f>SUM(OSRRefD20x_0)</f>
        <v>23071.400000000005</v>
      </c>
      <c r="E45" s="14">
        <f>SUM(OSRRefD20x_1)</f>
        <v>18364.869999999995</v>
      </c>
      <c r="F45" s="14">
        <f>SUM(OSRRefD20x_2)</f>
        <v>21661.78</v>
      </c>
      <c r="G45" s="14">
        <f>SUM(OSRRefD20x_3)</f>
        <v>22743.91</v>
      </c>
      <c r="H45" s="14">
        <f>SUM(OSRRefD20x_4)</f>
        <v>20583.830000000002</v>
      </c>
      <c r="I45" s="14">
        <f>SUM(OSRRefD20x_5)</f>
        <v>23595.63</v>
      </c>
      <c r="J45" s="14">
        <f>SUM(OSRRefD20x_6)</f>
        <v>22705.47</v>
      </c>
      <c r="K45" s="14">
        <f>SUM(OSRRefD20x_7)</f>
        <v>19113.54</v>
      </c>
      <c r="L45" s="14">
        <f>SUM(OSRRefD20x_8)</f>
        <v>20947.410000000007</v>
      </c>
      <c r="M45" s="14">
        <f>SUM(OSRRefD20x_9)</f>
        <v>24362.670000000002</v>
      </c>
      <c r="N45" s="14">
        <f>SUM(OSRRefE20x_0)</f>
        <v>16935.908396446153</v>
      </c>
      <c r="O45" s="14">
        <f>SUM(OSRRefE20x_1)</f>
        <v>17020.342054846151</v>
      </c>
      <c r="Q45" s="14">
        <f>SUM(OSRRefG20x)</f>
        <v>251106.76045129233</v>
      </c>
    </row>
    <row r="46" spans="1:17" s="34" customFormat="1" collapsed="1" x14ac:dyDescent="0.25">
      <c r="A46" s="35"/>
      <c r="B46" s="11" t="str">
        <f>CONCATENATE("     ","*Benefits                                         ")</f>
        <v xml:space="preserve">     *Benefits                                         </v>
      </c>
      <c r="C46" s="11"/>
      <c r="D46" s="1">
        <f>SUM(OSRRefD21_0x_0)</f>
        <v>4182.72</v>
      </c>
      <c r="E46" s="1">
        <f>SUM(OSRRefD21_0x_1)</f>
        <v>5610.43</v>
      </c>
      <c r="F46" s="1">
        <f>SUM(OSRRefD21_0x_2)</f>
        <v>5184.3499999999995</v>
      </c>
      <c r="G46" s="1">
        <f>SUM(OSRRefD21_0x_3)</f>
        <v>5855.8200000000006</v>
      </c>
      <c r="H46" s="1">
        <f>SUM(OSRRefD21_0x_4)</f>
        <v>5216.1000000000004</v>
      </c>
      <c r="I46" s="1">
        <f>SUM(OSRRefD21_0x_5)</f>
        <v>5077.6499999999996</v>
      </c>
      <c r="J46" s="1">
        <f>SUM(OSRRefD21_0x_6)</f>
        <v>4683.9400000000005</v>
      </c>
      <c r="K46" s="1">
        <f>SUM(OSRRefD21_0x_7)</f>
        <v>3683.69</v>
      </c>
      <c r="L46" s="1">
        <f>SUM(OSRRefD21_0x_8)</f>
        <v>3784.05</v>
      </c>
      <c r="M46" s="1">
        <f>SUM(OSRRefD21_0x_9)</f>
        <v>4210.9799999999996</v>
      </c>
      <c r="N46" s="1">
        <f>SUM(OSRRefE21_0x_0)</f>
        <v>2094.1314733692316</v>
      </c>
      <c r="O46" s="1">
        <f>SUM(OSRRefE21_0x_1)</f>
        <v>2223.5651317692323</v>
      </c>
      <c r="Q46" s="2">
        <f>SUM(OSRRefD20_0x)+IFERROR(SUM(OSRRefE20_0x),0)</f>
        <v>51807.426605138477</v>
      </c>
    </row>
    <row r="47" spans="1:17" s="34" customFormat="1" hidden="1" outlineLevel="1" x14ac:dyDescent="0.25">
      <c r="A47" s="35"/>
      <c r="B47" s="10" t="str">
        <f>CONCATENATE("          ","6111", " - ","F.I.C.A.")</f>
        <v xml:space="preserve">          6111 - F.I.C.A.</v>
      </c>
      <c r="C47" s="11"/>
      <c r="D47" s="2">
        <v>672.15</v>
      </c>
      <c r="E47" s="2">
        <v>868.48</v>
      </c>
      <c r="F47" s="2">
        <v>669.38</v>
      </c>
      <c r="G47" s="2">
        <v>998.37</v>
      </c>
      <c r="H47" s="2">
        <v>643.12</v>
      </c>
      <c r="I47" s="2">
        <v>594.54</v>
      </c>
      <c r="J47" s="2">
        <v>574.86</v>
      </c>
      <c r="K47" s="2">
        <v>511.97</v>
      </c>
      <c r="L47" s="2">
        <v>564.38</v>
      </c>
      <c r="M47" s="2">
        <v>764.89</v>
      </c>
      <c r="N47" s="2">
        <v>330.12958029230799</v>
      </c>
      <c r="O47" s="2">
        <v>459.563238692308</v>
      </c>
      <c r="P47" s="9"/>
      <c r="Q47" s="2">
        <f>SUM(OSRRefD21_0_0x)+IFERROR(SUM(OSRRefE21_0_0x),0)</f>
        <v>7651.8328189846161</v>
      </c>
    </row>
    <row r="48" spans="1:17" s="34" customFormat="1" hidden="1" outlineLevel="1" x14ac:dyDescent="0.25">
      <c r="A48" s="35"/>
      <c r="B48" s="10" t="str">
        <f>CONCATENATE("          ","6112", " - ","COMPENSATION INSURANCE")</f>
        <v xml:space="preserve">          6112 - COMPENSATION INSURANCE</v>
      </c>
      <c r="C48" s="11"/>
      <c r="D48" s="2">
        <v>228.93</v>
      </c>
      <c r="E48" s="2">
        <v>383.11</v>
      </c>
      <c r="F48" s="2">
        <v>245.98</v>
      </c>
      <c r="G48" s="2">
        <v>215.57</v>
      </c>
      <c r="H48" s="2">
        <v>354.54</v>
      </c>
      <c r="I48" s="2">
        <v>354.54</v>
      </c>
      <c r="J48" s="2">
        <v>-19.62</v>
      </c>
      <c r="K48" s="2">
        <v>151.97999999999999</v>
      </c>
      <c r="L48" s="2">
        <v>158.82</v>
      </c>
      <c r="M48" s="2">
        <v>118.89</v>
      </c>
      <c r="N48" s="2">
        <v>111.092642307692</v>
      </c>
      <c r="O48" s="2">
        <v>111.092642307692</v>
      </c>
      <c r="P48" s="9"/>
      <c r="Q48" s="2">
        <f>SUM(OSRRefD21_0_1x)+IFERROR(SUM(OSRRefE21_0_1x),0)</f>
        <v>2414.9252846153836</v>
      </c>
    </row>
    <row r="49" spans="1:17" s="34" customFormat="1" hidden="1" outlineLevel="1" x14ac:dyDescent="0.25">
      <c r="A49" s="35"/>
      <c r="B49" s="10" t="str">
        <f>CONCATENATE("          ","6113", " - ","GROUP INSURANCE")</f>
        <v xml:space="preserve">          6113 - GROUP INSURANCE</v>
      </c>
      <c r="C49" s="11"/>
      <c r="D49" s="2">
        <v>2012.47</v>
      </c>
      <c r="E49" s="2">
        <v>2714.98</v>
      </c>
      <c r="F49" s="2">
        <v>2714.98</v>
      </c>
      <c r="G49" s="2">
        <v>2714.98</v>
      </c>
      <c r="H49" s="2">
        <v>2714.98</v>
      </c>
      <c r="I49" s="2">
        <v>2714.98</v>
      </c>
      <c r="J49" s="2">
        <v>2704.67</v>
      </c>
      <c r="K49" s="2">
        <v>2002.18</v>
      </c>
      <c r="L49" s="2">
        <v>1994.68</v>
      </c>
      <c r="M49" s="2">
        <v>1998.43</v>
      </c>
      <c r="N49" s="2">
        <v>990</v>
      </c>
      <c r="O49" s="2">
        <v>990</v>
      </c>
      <c r="P49" s="9"/>
      <c r="Q49" s="2">
        <f>SUM(OSRRefD21_0_2x)+IFERROR(SUM(OSRRefE21_0_2x),0)</f>
        <v>26267.33</v>
      </c>
    </row>
    <row r="50" spans="1:17" s="34" customFormat="1" hidden="1" outlineLevel="1" x14ac:dyDescent="0.25">
      <c r="A50" s="35"/>
      <c r="B50" s="10" t="str">
        <f>CONCATENATE("          ","6114", " - ","STATE UNEMPLOYMENT INSURANCE")</f>
        <v xml:space="preserve">          6114 - STATE UNEMPLOYMENT INSURANCE</v>
      </c>
      <c r="C50" s="11"/>
      <c r="D50" s="2">
        <v>23.65</v>
      </c>
      <c r="E50" s="2">
        <v>36.020000000000003</v>
      </c>
      <c r="F50" s="2">
        <v>34.57</v>
      </c>
      <c r="G50" s="2">
        <v>30.3</v>
      </c>
      <c r="H50" s="2">
        <v>49.83</v>
      </c>
      <c r="I50" s="2"/>
      <c r="J50" s="2">
        <v>47.07</v>
      </c>
      <c r="K50" s="2">
        <v>21.36</v>
      </c>
      <c r="L50" s="2">
        <v>22.32</v>
      </c>
      <c r="M50" s="2">
        <v>16.71</v>
      </c>
      <c r="N50" s="2">
        <v>15.613020000000001</v>
      </c>
      <c r="O50" s="2">
        <v>15.613020000000001</v>
      </c>
      <c r="P50" s="9"/>
      <c r="Q50" s="2">
        <f>SUM(OSRRefD21_0_3x)+IFERROR(SUM(OSRRefE21_0_3x),0)</f>
        <v>313.05604</v>
      </c>
    </row>
    <row r="51" spans="1:17" s="34" customFormat="1" hidden="1" outlineLevel="1" x14ac:dyDescent="0.25">
      <c r="A51" s="35"/>
      <c r="B51" s="10" t="str">
        <f>CONCATENATE("          ","6115", " - ","P.E.R.S.")</f>
        <v xml:space="preserve">          6115 - P.E.R.S.</v>
      </c>
      <c r="C51" s="11"/>
      <c r="D51" s="2">
        <v>543.17999999999995</v>
      </c>
      <c r="E51" s="2">
        <v>362.12</v>
      </c>
      <c r="F51" s="2">
        <v>362.12</v>
      </c>
      <c r="G51" s="2">
        <v>253.48</v>
      </c>
      <c r="H51" s="2">
        <v>362.12</v>
      </c>
      <c r="I51" s="2">
        <v>362.12</v>
      </c>
      <c r="J51" s="2">
        <v>543.17999999999995</v>
      </c>
      <c r="K51" s="2">
        <v>344.01</v>
      </c>
      <c r="L51" s="2">
        <v>362.12</v>
      </c>
      <c r="M51" s="2">
        <v>362.12</v>
      </c>
      <c r="N51" s="2">
        <v>201.43846153846201</v>
      </c>
      <c r="O51" s="2">
        <v>201.43846153846201</v>
      </c>
      <c r="P51" s="9"/>
      <c r="Q51" s="2">
        <f>SUM(OSRRefD21_0_4x)+IFERROR(SUM(OSRRefE21_0_4x),0)</f>
        <v>4259.4469230769237</v>
      </c>
    </row>
    <row r="52" spans="1:17" s="34" customFormat="1" hidden="1" outlineLevel="1" x14ac:dyDescent="0.25">
      <c r="A52" s="35"/>
      <c r="B52" s="10" t="str">
        <f>CONCATENATE("          ","6116", " - ","EDUCATIONAL BENEFITS")</f>
        <v xml:space="preserve">          6116 - EDUCATIONAL BENEFITS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SUM(OSRRefD21_0_5x)+IFERROR(SUM(OSRRefE21_0_5x),0)</f>
        <v>0</v>
      </c>
    </row>
    <row r="53" spans="1:17" s="34" customFormat="1" hidden="1" outlineLevel="1" x14ac:dyDescent="0.25">
      <c r="A53" s="35"/>
      <c r="B53" s="10" t="str">
        <f>CONCATENATE("          ","6118", " - ","VACATION")</f>
        <v xml:space="preserve">          6118 - VACATION</v>
      </c>
      <c r="C53" s="11"/>
      <c r="D53" s="2">
        <v>402.51</v>
      </c>
      <c r="E53" s="2">
        <v>498.76</v>
      </c>
      <c r="F53" s="2">
        <v>498.76</v>
      </c>
      <c r="G53" s="2">
        <v>748.14</v>
      </c>
      <c r="H53" s="2">
        <v>498.76</v>
      </c>
      <c r="I53" s="2">
        <v>498.76</v>
      </c>
      <c r="J53" s="2">
        <v>438.81</v>
      </c>
      <c r="K53" s="2">
        <v>342.56</v>
      </c>
      <c r="L53" s="2">
        <v>342.56</v>
      </c>
      <c r="M53" s="2">
        <v>513.84</v>
      </c>
      <c r="N53" s="2">
        <v>117.115384615385</v>
      </c>
      <c r="O53" s="2">
        <v>117.115384615385</v>
      </c>
      <c r="P53" s="9"/>
      <c r="Q53" s="2">
        <f>SUM(OSRRefD21_0_6x)+IFERROR(SUM(OSRRefE21_0_6x),0)</f>
        <v>5017.6907692307714</v>
      </c>
    </row>
    <row r="54" spans="1:17" s="34" customFormat="1" hidden="1" outlineLevel="1" x14ac:dyDescent="0.25">
      <c r="A54" s="35"/>
      <c r="B54" s="10" t="str">
        <f>CONCATENATE("          ","6119", " - ","SICK LEAVE")</f>
        <v xml:space="preserve">          6119 - SICK LEAVE</v>
      </c>
      <c r="C54" s="11"/>
      <c r="D54" s="2">
        <v>223.35</v>
      </c>
      <c r="E54" s="2">
        <v>446.7</v>
      </c>
      <c r="F54" s="2">
        <v>446.7</v>
      </c>
      <c r="G54" s="2">
        <v>670.05</v>
      </c>
      <c r="H54" s="2">
        <v>446.7</v>
      </c>
      <c r="I54" s="2">
        <v>446.7</v>
      </c>
      <c r="J54" s="2">
        <v>331.39</v>
      </c>
      <c r="K54" s="2">
        <v>216.08</v>
      </c>
      <c r="L54" s="2">
        <v>216.08</v>
      </c>
      <c r="M54" s="2">
        <v>324.12</v>
      </c>
      <c r="N54" s="2">
        <v>153.74238461538499</v>
      </c>
      <c r="O54" s="2">
        <v>153.74238461538499</v>
      </c>
      <c r="P54" s="9"/>
      <c r="Q54" s="2">
        <f>SUM(OSRRefD21_0_7x)+IFERROR(SUM(OSRRefE21_0_7x),0)</f>
        <v>4075.3547692307693</v>
      </c>
    </row>
    <row r="55" spans="1:17" s="34" customFormat="1" hidden="1" outlineLevel="1" x14ac:dyDescent="0.25">
      <c r="A55" s="35"/>
      <c r="B55" s="10" t="str">
        <f>CONCATENATE("          ","6156", " - ","EMPLOYEE MEALS")</f>
        <v xml:space="preserve">          6156 - EMPLOYEE MEALS</v>
      </c>
      <c r="C55" s="11"/>
      <c r="D55" s="2">
        <v>76.48</v>
      </c>
      <c r="E55" s="2">
        <v>300.26</v>
      </c>
      <c r="F55" s="2">
        <v>211.86</v>
      </c>
      <c r="G55" s="2">
        <v>224.93</v>
      </c>
      <c r="H55" s="2">
        <v>146.05000000000001</v>
      </c>
      <c r="I55" s="2">
        <v>106.01</v>
      </c>
      <c r="J55" s="2">
        <v>63.58</v>
      </c>
      <c r="K55" s="2">
        <v>93.55</v>
      </c>
      <c r="L55" s="2">
        <v>123.09</v>
      </c>
      <c r="M55" s="2">
        <v>111.98</v>
      </c>
      <c r="N55" s="2">
        <v>175</v>
      </c>
      <c r="O55" s="2">
        <v>175</v>
      </c>
      <c r="P55" s="9"/>
      <c r="Q55" s="2">
        <f>SUM(OSRRefD21_0_8x)+IFERROR(SUM(OSRRefE21_0_8x),0)</f>
        <v>1807.7899999999997</v>
      </c>
    </row>
    <row r="56" spans="1:17" s="34" customFormat="1" collapsed="1" x14ac:dyDescent="0.25">
      <c r="A56" s="35"/>
      <c r="B56" s="11" t="str">
        <f>CONCATENATE("     ","*Payroll                                          ")</f>
        <v xml:space="preserve">     *Payroll                                          </v>
      </c>
      <c r="C56" s="11"/>
      <c r="D56" s="1">
        <f>SUM(OSRRefD21_1x_0)</f>
        <v>11018.7</v>
      </c>
      <c r="E56" s="1">
        <f>SUM(OSRRefD21_1x_1)</f>
        <v>4729.9399999999996</v>
      </c>
      <c r="F56" s="1">
        <f>SUM(OSRRefD21_1x_2)</f>
        <v>7185.8399999999992</v>
      </c>
      <c r="G56" s="1">
        <f>SUM(OSRRefD21_1x_3)</f>
        <v>8728.8100000000013</v>
      </c>
      <c r="H56" s="1">
        <f>SUM(OSRRefD21_1x_4)</f>
        <v>7497.2</v>
      </c>
      <c r="I56" s="1">
        <f>SUM(OSRRefD21_1x_5)</f>
        <v>8680.51</v>
      </c>
      <c r="J56" s="1">
        <f>SUM(OSRRefD21_1x_6)</f>
        <v>10135.630000000001</v>
      </c>
      <c r="K56" s="1">
        <f>SUM(OSRRefD21_1x_7)</f>
        <v>7815.2500000000009</v>
      </c>
      <c r="L56" s="1">
        <f>SUM(OSRRefD21_1x_8)</f>
        <v>8658.17</v>
      </c>
      <c r="M56" s="1">
        <f>SUM(OSRRefD21_1x_9)</f>
        <v>8738.17</v>
      </c>
      <c r="N56" s="1">
        <f>SUM(OSRRefE21_1x_0)</f>
        <v>5770.77692307692</v>
      </c>
      <c r="O56" s="1">
        <f>SUM(OSRRefE21_1x_1)</f>
        <v>5770.77692307692</v>
      </c>
      <c r="Q56" s="2">
        <f>SUM(OSRRefD20_1x)+IFERROR(SUM(OSRRefE20_1x),0)</f>
        <v>94729.773846153839</v>
      </c>
    </row>
    <row r="57" spans="1:17" s="34" customFormat="1" hidden="1" outlineLevel="1" x14ac:dyDescent="0.25">
      <c r="A57" s="35"/>
      <c r="B57" s="10" t="str">
        <f>CONCATENATE("          ","6001", " - ","ADMINISTRATIVE SALARIES")</f>
        <v xml:space="preserve">          6001 - ADMINISTRATIVE SALARIES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SUM(OSRRefD21_1_0x)+IFERROR(SUM(OSRRefE21_1_0x),0)</f>
        <v>0</v>
      </c>
    </row>
    <row r="58" spans="1:17" s="34" customFormat="1" hidden="1" outlineLevel="1" x14ac:dyDescent="0.25">
      <c r="A58" s="35"/>
      <c r="B58" s="10" t="str">
        <f>CONCATENATE("          ","6002", " - ","STAFF SALARIES")</f>
        <v xml:space="preserve">          6002 - STAFF SALARIES</v>
      </c>
      <c r="C58" s="11"/>
      <c r="D58" s="2">
        <v>5855.62</v>
      </c>
      <c r="E58" s="2">
        <v>4684.62</v>
      </c>
      <c r="F58" s="2">
        <v>4684.62</v>
      </c>
      <c r="G58" s="2">
        <v>4216.3100000000004</v>
      </c>
      <c r="H58" s="2">
        <v>3981.93</v>
      </c>
      <c r="I58" s="2">
        <v>4684.62</v>
      </c>
      <c r="J58" s="2">
        <v>5462.16</v>
      </c>
      <c r="K58" s="2">
        <v>4525.38</v>
      </c>
      <c r="L58" s="2">
        <v>4759.62</v>
      </c>
      <c r="M58" s="2">
        <v>5153.24</v>
      </c>
      <c r="N58" s="2">
        <v>2108.0769230769201</v>
      </c>
      <c r="O58" s="2">
        <v>2108.0769230769201</v>
      </c>
      <c r="P58" s="9"/>
      <c r="Q58" s="2">
        <f>SUM(OSRRefD21_1_1x)+IFERROR(SUM(OSRRefE21_1_1x),0)</f>
        <v>52224.273846153839</v>
      </c>
    </row>
    <row r="59" spans="1:17" s="34" customFormat="1" hidden="1" outlineLevel="1" x14ac:dyDescent="0.25">
      <c r="A59" s="35"/>
      <c r="B59" s="10" t="str">
        <f>CONCATENATE("          ","6003", " - ","STAFF HOURLY-9 MONTH")</f>
        <v xml:space="preserve">          6003 - STAFF HOURLY-9 MONTH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0</v>
      </c>
      <c r="O59" s="2">
        <v>0</v>
      </c>
      <c r="P59" s="9"/>
      <c r="Q59" s="2">
        <f>SUM(OSRRefD21_1_2x)+IFERROR(SUM(OSRRefE21_1_2x),0)</f>
        <v>0</v>
      </c>
    </row>
    <row r="60" spans="1:17" s="34" customFormat="1" hidden="1" outlineLevel="1" x14ac:dyDescent="0.25">
      <c r="A60" s="35"/>
      <c r="B60" s="10" t="str">
        <f>CONCATENATE("          ","6004", " - ","STAFF HOURLY")</f>
        <v xml:space="preserve">          6004 - STAFF HOURLY</v>
      </c>
      <c r="C60" s="11"/>
      <c r="D60" s="2">
        <v>2750.47</v>
      </c>
      <c r="E60" s="2">
        <v>-2911.56</v>
      </c>
      <c r="F60" s="2">
        <v>-207.97</v>
      </c>
      <c r="G60" s="2">
        <v>2219.5</v>
      </c>
      <c r="H60" s="2">
        <v>500</v>
      </c>
      <c r="I60" s="2">
        <v>740.77</v>
      </c>
      <c r="J60" s="2">
        <v>365</v>
      </c>
      <c r="K60" s="2"/>
      <c r="L60" s="2"/>
      <c r="M60" s="2"/>
      <c r="N60" s="2">
        <v>1971.42</v>
      </c>
      <c r="O60" s="2">
        <v>1971.42</v>
      </c>
      <c r="P60" s="9"/>
      <c r="Q60" s="2">
        <f>SUM(OSRRefD21_1_3x)+IFERROR(SUM(OSRRefE21_1_3x),0)</f>
        <v>7399.0499999999993</v>
      </c>
    </row>
    <row r="61" spans="1:17" s="34" customFormat="1" hidden="1" outlineLevel="1" x14ac:dyDescent="0.25">
      <c r="A61" s="35"/>
      <c r="B61" s="10" t="str">
        <f>CONCATENATE("          ","6005", " - ","TEMPORARY WAGES-HOURLY")</f>
        <v xml:space="preserve">          6005 - TEMPORARY WAGES-HOURLY</v>
      </c>
      <c r="C61" s="11"/>
      <c r="D61" s="2">
        <v>1210.6099999999999</v>
      </c>
      <c r="E61" s="2">
        <v>1087.03</v>
      </c>
      <c r="F61" s="2">
        <v>1332.13</v>
      </c>
      <c r="G61" s="2">
        <v>1116.81</v>
      </c>
      <c r="H61" s="2">
        <v>1601.12</v>
      </c>
      <c r="I61" s="2">
        <v>1562.94</v>
      </c>
      <c r="J61" s="2">
        <v>1980.01</v>
      </c>
      <c r="K61" s="2">
        <v>1718.15</v>
      </c>
      <c r="L61" s="2">
        <v>2356.65</v>
      </c>
      <c r="M61" s="2">
        <v>2617.66</v>
      </c>
      <c r="N61" s="2">
        <v>0</v>
      </c>
      <c r="O61" s="2">
        <v>0</v>
      </c>
      <c r="P61" s="9"/>
      <c r="Q61" s="2">
        <f>SUM(OSRRefD21_1_4x)+IFERROR(SUM(OSRRefE21_1_4x),0)</f>
        <v>16583.11</v>
      </c>
    </row>
    <row r="62" spans="1:17" s="34" customFormat="1" hidden="1" outlineLevel="1" x14ac:dyDescent="0.25">
      <c r="A62" s="35"/>
      <c r="B62" s="10" t="str">
        <f>CONCATENATE("          ","6006", " - ","TEMPORARY PART TIME")</f>
        <v xml:space="preserve">          6006 - TEMPORARY PART TIME</v>
      </c>
      <c r="C62" s="11"/>
      <c r="D62" s="2"/>
      <c r="E62" s="2"/>
      <c r="F62" s="2"/>
      <c r="G62" s="2"/>
      <c r="H62" s="2"/>
      <c r="I62" s="2"/>
      <c r="J62" s="2"/>
      <c r="K62" s="2">
        <v>303.64</v>
      </c>
      <c r="L62" s="2">
        <v>203.51</v>
      </c>
      <c r="M62" s="2">
        <v>203.81</v>
      </c>
      <c r="N62" s="2">
        <v>0</v>
      </c>
      <c r="O62" s="2">
        <v>0</v>
      </c>
      <c r="P62" s="9"/>
      <c r="Q62" s="2">
        <f>SUM(OSRRefD21_1_5x)+IFERROR(SUM(OSRRefE21_1_5x),0)</f>
        <v>710.96</v>
      </c>
    </row>
    <row r="63" spans="1:17" s="34" customFormat="1" hidden="1" outlineLevel="1" x14ac:dyDescent="0.25">
      <c r="A63" s="35"/>
      <c r="B63" s="10" t="str">
        <f>CONCATENATE("          ","6007", " - ","STUDENT HOURLY")</f>
        <v xml:space="preserve">          6007 - STUDENT HOURLY</v>
      </c>
      <c r="C63" s="11"/>
      <c r="D63" s="2">
        <v>1202</v>
      </c>
      <c r="E63" s="2">
        <v>1775.86</v>
      </c>
      <c r="F63" s="2">
        <v>1005.91</v>
      </c>
      <c r="G63" s="2">
        <v>646.44000000000005</v>
      </c>
      <c r="H63" s="2">
        <v>1144.27</v>
      </c>
      <c r="I63" s="2">
        <v>1239.52</v>
      </c>
      <c r="J63" s="2">
        <v>2126.86</v>
      </c>
      <c r="K63" s="2">
        <v>1268.08</v>
      </c>
      <c r="L63" s="2">
        <v>1338.39</v>
      </c>
      <c r="M63" s="2">
        <v>681.98</v>
      </c>
      <c r="N63" s="2">
        <v>0</v>
      </c>
      <c r="O63" s="2">
        <v>1691.28</v>
      </c>
      <c r="P63" s="9"/>
      <c r="Q63" s="2">
        <f>SUM(OSRRefD21_1_6x)+IFERROR(SUM(OSRRefE21_1_6x),0)</f>
        <v>14120.59</v>
      </c>
    </row>
    <row r="64" spans="1:17" s="34" customFormat="1" hidden="1" outlineLevel="1" x14ac:dyDescent="0.25">
      <c r="A64" s="35"/>
      <c r="B64" s="10" t="str">
        <f>CONCATENATE("          ","6008", " - ","STUDENT HOURLY-FICA EXEMPT")</f>
        <v xml:space="preserve">          6008 - STUDENT HOURLY-FICA EXEMPT</v>
      </c>
      <c r="C64" s="11"/>
      <c r="D64" s="2"/>
      <c r="E64" s="2">
        <v>93.99</v>
      </c>
      <c r="F64" s="2">
        <v>371.15</v>
      </c>
      <c r="G64" s="2">
        <v>529.75</v>
      </c>
      <c r="H64" s="2">
        <v>269.88</v>
      </c>
      <c r="I64" s="2">
        <v>452.66</v>
      </c>
      <c r="J64" s="2">
        <v>201.6</v>
      </c>
      <c r="K64" s="2"/>
      <c r="L64" s="2"/>
      <c r="M64" s="2">
        <v>81.48</v>
      </c>
      <c r="N64" s="2">
        <v>1691.28</v>
      </c>
      <c r="O64" s="2">
        <v>0</v>
      </c>
      <c r="P64" s="9"/>
      <c r="Q64" s="2">
        <f>SUM(OSRRefD21_1_7x)+IFERROR(SUM(OSRRefE21_1_7x),0)</f>
        <v>3691.79</v>
      </c>
    </row>
    <row r="65" spans="1:17" s="34" customFormat="1" hidden="1" outlineLevel="1" x14ac:dyDescent="0.25">
      <c r="A65" s="35"/>
      <c r="B65" s="10" t="str">
        <f>CONCATENATE("          ","6009", " - ","TEMPORARY-SEASONAL")</f>
        <v xml:space="preserve">          6009 - TEMPORARY-SEASONAL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SUM(OSRRefD21_1_8x)+IFERROR(SUM(OSRRefE21_1_8x),0)</f>
        <v>0</v>
      </c>
    </row>
    <row r="66" spans="1:17" s="34" customFormat="1" hidden="1" outlineLevel="1" x14ac:dyDescent="0.25">
      <c r="A66" s="35"/>
      <c r="B66" s="10" t="str">
        <f>CONCATENATE("          ","6010", " - ","GRATUITY")</f>
        <v xml:space="preserve">          6010 - GRATUITY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SUM(OSRRefD21_1_9x)+IFERROR(SUM(OSRRefE21_1_9x),0)</f>
        <v>0</v>
      </c>
    </row>
    <row r="67" spans="1:17" s="34" customFormat="1" collapsed="1" x14ac:dyDescent="0.25">
      <c r="A67" s="35"/>
      <c r="B67" s="11" t="str">
        <f>CONCATENATE("     ","Advertising/Promo                                 ")</f>
        <v xml:space="preserve">     Advertising/Promo                                 </v>
      </c>
      <c r="C67" s="11"/>
      <c r="D67" s="1">
        <f>SUM(OSRRefD21_2x_0)</f>
        <v>0</v>
      </c>
      <c r="E67" s="1">
        <f>SUM(OSRRefD21_2x_1)</f>
        <v>0</v>
      </c>
      <c r="F67" s="1">
        <f>SUM(OSRRefD21_2x_2)</f>
        <v>0</v>
      </c>
      <c r="G67" s="1">
        <f>SUM(OSRRefD21_2x_3)</f>
        <v>936</v>
      </c>
      <c r="H67" s="1">
        <f>SUM(OSRRefD21_2x_4)</f>
        <v>35.28</v>
      </c>
      <c r="I67" s="1">
        <f>SUM(OSRRefD21_2x_5)</f>
        <v>52.92</v>
      </c>
      <c r="J67" s="1">
        <f>SUM(OSRRefD21_2x_6)</f>
        <v>0</v>
      </c>
      <c r="K67" s="1">
        <f>SUM(OSRRefD21_2x_7)</f>
        <v>0</v>
      </c>
      <c r="L67" s="1">
        <f>SUM(OSRRefD21_2x_8)</f>
        <v>0</v>
      </c>
      <c r="M67" s="1">
        <f>SUM(OSRRefD21_2x_9)</f>
        <v>936</v>
      </c>
      <c r="N67" s="1">
        <f>SUM(OSRRefE21_2x_0)</f>
        <v>50</v>
      </c>
      <c r="O67" s="1">
        <f>SUM(OSRRefE21_2x_1)</f>
        <v>0</v>
      </c>
      <c r="Q67" s="2">
        <f>SUM(OSRRefD20_2x)+IFERROR(SUM(OSRRefE20_2x),0)</f>
        <v>2010.2</v>
      </c>
    </row>
    <row r="68" spans="1:17" s="34" customFormat="1" hidden="1" outlineLevel="1" x14ac:dyDescent="0.25">
      <c r="A68" s="35"/>
      <c r="B68" s="10" t="str">
        <f>CONCATENATE("          ","6362", " - ","ADVERTISING EXPENSE")</f>
        <v xml:space="preserve">          6362 - ADVERTISING EXPENSE</v>
      </c>
      <c r="C68" s="11"/>
      <c r="D68" s="2"/>
      <c r="E68" s="2"/>
      <c r="F68" s="2"/>
      <c r="G68" s="2">
        <v>936</v>
      </c>
      <c r="H68" s="2">
        <v>35.28</v>
      </c>
      <c r="I68" s="2">
        <v>52.92</v>
      </c>
      <c r="J68" s="2"/>
      <c r="K68" s="2"/>
      <c r="L68" s="2"/>
      <c r="M68" s="2">
        <v>936</v>
      </c>
      <c r="N68" s="2">
        <v>50</v>
      </c>
      <c r="O68" s="2"/>
      <c r="P68" s="9"/>
      <c r="Q68" s="2">
        <f>SUM(OSRRefD21_2_0x)+IFERROR(SUM(OSRRefE21_2_0x),0)</f>
        <v>2010.2</v>
      </c>
    </row>
    <row r="69" spans="1:17" s="34" customFormat="1" collapsed="1" x14ac:dyDescent="0.25">
      <c r="A69" s="35"/>
      <c r="B69" s="11" t="str">
        <f>CONCATENATE("     ","Bad Debts/Over/Short                              ")</f>
        <v xml:space="preserve">     Bad Debts/Over/Short                              </v>
      </c>
      <c r="C69" s="11"/>
      <c r="D69" s="1">
        <f>SUM(OSRRefD21_3x_0)</f>
        <v>-0.9</v>
      </c>
      <c r="E69" s="1">
        <f>SUM(OSRRefD21_3x_1)</f>
        <v>4.5599999999999996</v>
      </c>
      <c r="F69" s="1">
        <f>SUM(OSRRefD21_3x_2)</f>
        <v>-2.96</v>
      </c>
      <c r="G69" s="1">
        <f>SUM(OSRRefD21_3x_3)</f>
        <v>-1.23</v>
      </c>
      <c r="H69" s="1">
        <f>SUM(OSRRefD21_3x_4)</f>
        <v>-0.48</v>
      </c>
      <c r="I69" s="1">
        <f>SUM(OSRRefD21_3x_5)</f>
        <v>-0.38</v>
      </c>
      <c r="J69" s="1">
        <f>SUM(OSRRefD21_3x_6)</f>
        <v>-0.41</v>
      </c>
      <c r="K69" s="1">
        <f>SUM(OSRRefD21_3x_7)</f>
        <v>-1.1499999999999999</v>
      </c>
      <c r="L69" s="1">
        <f>SUM(OSRRefD21_3x_8)</f>
        <v>-20.41</v>
      </c>
      <c r="M69" s="1">
        <f>SUM(OSRRefD21_3x_9)</f>
        <v>0.26</v>
      </c>
      <c r="N69" s="1">
        <f>SUM(OSRRefE21_3x_0)</f>
        <v>10</v>
      </c>
      <c r="O69" s="1">
        <f>SUM(OSRRefE21_3x_1)</f>
        <v>10</v>
      </c>
      <c r="Q69" s="2">
        <f>SUM(OSRRefD20_3x)+IFERROR(SUM(OSRRefE20_3x),0)</f>
        <v>-3.0999999999999979</v>
      </c>
    </row>
    <row r="70" spans="1:17" s="34" customFormat="1" hidden="1" outlineLevel="1" x14ac:dyDescent="0.25">
      <c r="A70" s="35"/>
      <c r="B70" s="10" t="str">
        <f>CONCATENATE("          ","6272", " - ","CASH (OVER/SHORT)")</f>
        <v xml:space="preserve">          6272 - CASH (OVER/SHORT)</v>
      </c>
      <c r="C70" s="11"/>
      <c r="D70" s="2">
        <v>-0.9</v>
      </c>
      <c r="E70" s="2">
        <v>4.5599999999999996</v>
      </c>
      <c r="F70" s="2">
        <v>-2.96</v>
      </c>
      <c r="G70" s="2">
        <v>-1.23</v>
      </c>
      <c r="H70" s="2">
        <v>-0.48</v>
      </c>
      <c r="I70" s="2">
        <v>-0.38</v>
      </c>
      <c r="J70" s="2">
        <v>-0.41</v>
      </c>
      <c r="K70" s="2">
        <v>-1.1499999999999999</v>
      </c>
      <c r="L70" s="2">
        <v>-20.41</v>
      </c>
      <c r="M70" s="2">
        <v>0.26</v>
      </c>
      <c r="N70" s="2">
        <v>10</v>
      </c>
      <c r="O70" s="2">
        <v>10</v>
      </c>
      <c r="P70" s="9"/>
      <c r="Q70" s="2">
        <f>SUM(OSRRefD21_3_0x)+IFERROR(SUM(OSRRefE21_3_0x),0)</f>
        <v>-3.0999999999999979</v>
      </c>
    </row>
    <row r="71" spans="1:17" s="34" customFormat="1" collapsed="1" x14ac:dyDescent="0.25">
      <c r="A71" s="35"/>
      <c r="B71" s="11" t="str">
        <f>CONCATENATE("     ","Bank/card Fees                                    ")</f>
        <v xml:space="preserve">     Bank/card Fees                                    </v>
      </c>
      <c r="C71" s="11"/>
      <c r="D71" s="1">
        <f>SUM(OSRRefD21_4x_0)</f>
        <v>306.89</v>
      </c>
      <c r="E71" s="1">
        <f>SUM(OSRRefD21_4x_1)</f>
        <v>452.83</v>
      </c>
      <c r="F71" s="1">
        <f>SUM(OSRRefD21_4x_2)</f>
        <v>306.45</v>
      </c>
      <c r="G71" s="1">
        <f>SUM(OSRRefD21_4x_3)</f>
        <v>291.5</v>
      </c>
      <c r="H71" s="1">
        <f>SUM(OSRRefD21_4x_4)</f>
        <v>315.25</v>
      </c>
      <c r="I71" s="1">
        <f>SUM(OSRRefD21_4x_5)</f>
        <v>641.35</v>
      </c>
      <c r="J71" s="1">
        <f>SUM(OSRRefD21_4x_6)</f>
        <v>244.74</v>
      </c>
      <c r="K71" s="1">
        <f>SUM(OSRRefD21_4x_7)</f>
        <v>308.72000000000003</v>
      </c>
      <c r="L71" s="1">
        <f>SUM(OSRRefD21_4x_8)</f>
        <v>470.17</v>
      </c>
      <c r="M71" s="1">
        <f>SUM(OSRRefD21_4x_9)</f>
        <v>494.45</v>
      </c>
      <c r="N71" s="1">
        <f>SUM(OSRRefE21_4x_0)</f>
        <v>1000</v>
      </c>
      <c r="O71" s="1">
        <f>SUM(OSRRefE21_4x_1)</f>
        <v>900</v>
      </c>
      <c r="Q71" s="2">
        <f>SUM(OSRRefD20_4x)+IFERROR(SUM(OSRRefE20_4x),0)</f>
        <v>5732.35</v>
      </c>
    </row>
    <row r="72" spans="1:17" s="34" customFormat="1" hidden="1" outlineLevel="1" x14ac:dyDescent="0.25">
      <c r="A72" s="35"/>
      <c r="B72" s="10" t="str">
        <f>CONCATENATE("          ","6381", " - ","BANK/CREDIT CARD FEES")</f>
        <v xml:space="preserve">          6381 - BANK/CREDIT CARD FEES</v>
      </c>
      <c r="C72" s="11"/>
      <c r="D72" s="2">
        <v>306.89</v>
      </c>
      <c r="E72" s="2">
        <v>452.83</v>
      </c>
      <c r="F72" s="2">
        <v>306.45</v>
      </c>
      <c r="G72" s="2">
        <v>291.5</v>
      </c>
      <c r="H72" s="2">
        <v>315.25</v>
      </c>
      <c r="I72" s="2">
        <v>641.35</v>
      </c>
      <c r="J72" s="2">
        <v>244.74</v>
      </c>
      <c r="K72" s="2">
        <v>308.72000000000003</v>
      </c>
      <c r="L72" s="2">
        <v>470.17</v>
      </c>
      <c r="M72" s="2">
        <v>494.45</v>
      </c>
      <c r="N72" s="2">
        <v>1000</v>
      </c>
      <c r="O72" s="2">
        <v>900</v>
      </c>
      <c r="P72" s="9"/>
      <c r="Q72" s="2">
        <f>SUM(OSRRefD21_4_0x)+IFERROR(SUM(OSRRefE21_4_0x),0)</f>
        <v>5732.35</v>
      </c>
    </row>
    <row r="73" spans="1:17" s="34" customFormat="1" collapsed="1" x14ac:dyDescent="0.25">
      <c r="A73" s="35"/>
      <c r="B73" s="11" t="str">
        <f>CONCATENATE("     ","Discounts and Markdowns                           ")</f>
        <v xml:space="preserve">     Discounts and Markdowns                           </v>
      </c>
      <c r="C73" s="11"/>
      <c r="D73" s="1">
        <f>SUM(OSRRefD21_5x_0)</f>
        <v>0</v>
      </c>
      <c r="E73" s="1">
        <f>SUM(OSRRefD21_5x_1)</f>
        <v>0</v>
      </c>
      <c r="F73" s="1">
        <f>SUM(OSRRefD21_5x_2)</f>
        <v>830.95</v>
      </c>
      <c r="G73" s="1">
        <f>SUM(OSRRefD21_5x_3)</f>
        <v>-830.95</v>
      </c>
      <c r="H73" s="1">
        <f>SUM(OSRRefD21_5x_4)</f>
        <v>0</v>
      </c>
      <c r="I73" s="1">
        <f>SUM(OSRRefD21_5x_5)</f>
        <v>0</v>
      </c>
      <c r="J73" s="1">
        <f>SUM(OSRRefD21_5x_6)</f>
        <v>0</v>
      </c>
      <c r="K73" s="1">
        <f>SUM(OSRRefD21_5x_7)</f>
        <v>0</v>
      </c>
      <c r="L73" s="1">
        <f>SUM(OSRRefD21_5x_8)</f>
        <v>0</v>
      </c>
      <c r="M73" s="1">
        <f>SUM(OSRRefD21_5x_9)</f>
        <v>0</v>
      </c>
      <c r="N73" s="1">
        <f>SUM(OSRRefE21_5x_0)</f>
        <v>0</v>
      </c>
      <c r="O73" s="1">
        <f>SUM(OSRRefE21_5x_1)</f>
        <v>0</v>
      </c>
      <c r="Q73" s="2">
        <f>SUM(OSRRefD20_5x)+IFERROR(SUM(OSRRefE20_5x),0)</f>
        <v>0</v>
      </c>
    </row>
    <row r="74" spans="1:17" s="34" customFormat="1" hidden="1" outlineLevel="1" x14ac:dyDescent="0.25">
      <c r="A74" s="35"/>
      <c r="B74" s="10" t="str">
        <f>CONCATENATE("          ","6382", " - ","DISCOUNTS/MARK DOWNS")</f>
        <v xml:space="preserve">          6382 - DISCOUNTS/MARK DOWNS</v>
      </c>
      <c r="C74" s="11"/>
      <c r="D74" s="2">
        <v>0</v>
      </c>
      <c r="E74" s="2">
        <v>0</v>
      </c>
      <c r="F74" s="2">
        <v>830.95</v>
      </c>
      <c r="G74" s="2">
        <v>-830.95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/>
      <c r="O74" s="2"/>
      <c r="P74" s="9"/>
      <c r="Q74" s="2">
        <f>SUM(OSRRefD21_5_0x)+IFERROR(SUM(OSRRefE21_5_0x),0)</f>
        <v>0</v>
      </c>
    </row>
    <row r="75" spans="1:17" s="34" customFormat="1" collapsed="1" x14ac:dyDescent="0.25">
      <c r="A75" s="35"/>
      <c r="B75" s="11" t="str">
        <f>CONCATENATE("     ","Employees' Appreciation                           ")</f>
        <v xml:space="preserve">     Employees' Appreciation                           </v>
      </c>
      <c r="C75" s="11"/>
      <c r="D75" s="1">
        <f>SUM(OSRRefD21_6x_0)</f>
        <v>0</v>
      </c>
      <c r="E75" s="1">
        <f>SUM(OSRRefD21_6x_1)</f>
        <v>0</v>
      </c>
      <c r="F75" s="1">
        <f>SUM(OSRRefD21_6x_2)</f>
        <v>0</v>
      </c>
      <c r="G75" s="1">
        <f>SUM(OSRRefD21_6x_3)</f>
        <v>0</v>
      </c>
      <c r="H75" s="1">
        <f>SUM(OSRRefD21_6x_4)</f>
        <v>0</v>
      </c>
      <c r="I75" s="1">
        <f>SUM(OSRRefD21_6x_5)</f>
        <v>0</v>
      </c>
      <c r="J75" s="1">
        <f>SUM(OSRRefD21_6x_6)</f>
        <v>0</v>
      </c>
      <c r="K75" s="1">
        <f>SUM(OSRRefD21_6x_7)</f>
        <v>0</v>
      </c>
      <c r="L75" s="1">
        <f>SUM(OSRRefD21_6x_8)</f>
        <v>0</v>
      </c>
      <c r="M75" s="1">
        <f>SUM(OSRRefD21_6x_9)</f>
        <v>0</v>
      </c>
      <c r="N75" s="1">
        <f>SUM(OSRRefE21_6x_0)</f>
        <v>50</v>
      </c>
      <c r="O75" s="1">
        <f>SUM(OSRRefE21_6x_1)</f>
        <v>50</v>
      </c>
      <c r="Q75" s="2">
        <f>SUM(OSRRefD20_6x)+IFERROR(SUM(OSRRefE20_6x),0)</f>
        <v>100</v>
      </c>
    </row>
    <row r="76" spans="1:17" s="34" customFormat="1" hidden="1" outlineLevel="1" x14ac:dyDescent="0.25">
      <c r="A76" s="35"/>
      <c r="B76" s="10" t="str">
        <f>CONCATENATE("          ","6277", " - ","EMPLOYEE APPRECIATION")</f>
        <v xml:space="preserve">          6277 - EMPLOYEE APPRECIATION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>
        <v>50</v>
      </c>
      <c r="O76" s="2">
        <v>50</v>
      </c>
      <c r="P76" s="9"/>
      <c r="Q76" s="2">
        <f>SUM(OSRRefD21_6_0x)+IFERROR(SUM(OSRRefE21_6_0x),0)</f>
        <v>100</v>
      </c>
    </row>
    <row r="77" spans="1:17" s="34" customFormat="1" collapsed="1" x14ac:dyDescent="0.25">
      <c r="A77" s="35"/>
      <c r="B77" s="11" t="str">
        <f>CONCATENATE("     ","General                                           ")</f>
        <v xml:space="preserve">     General                                           </v>
      </c>
      <c r="C77" s="11"/>
      <c r="D77" s="1">
        <f>SUM(OSRRefD21_7x_0)</f>
        <v>0</v>
      </c>
      <c r="E77" s="1">
        <f>SUM(OSRRefD21_7x_1)</f>
        <v>0</v>
      </c>
      <c r="F77" s="1">
        <f>SUM(OSRRefD21_7x_2)</f>
        <v>0</v>
      </c>
      <c r="G77" s="1">
        <f>SUM(OSRRefD21_7x_3)</f>
        <v>0</v>
      </c>
      <c r="H77" s="1">
        <f>SUM(OSRRefD21_7x_4)</f>
        <v>0</v>
      </c>
      <c r="I77" s="1">
        <f>SUM(OSRRefD21_7x_5)</f>
        <v>1285.46</v>
      </c>
      <c r="J77" s="1">
        <f>SUM(OSRRefD21_7x_6)</f>
        <v>0</v>
      </c>
      <c r="K77" s="1">
        <f>SUM(OSRRefD21_7x_7)</f>
        <v>0</v>
      </c>
      <c r="L77" s="1">
        <f>SUM(OSRRefD21_7x_8)</f>
        <v>0</v>
      </c>
      <c r="M77" s="1">
        <f>SUM(OSRRefD21_7x_9)</f>
        <v>94.83</v>
      </c>
      <c r="N77" s="1">
        <f>SUM(OSRRefE21_7x_0)</f>
        <v>0</v>
      </c>
      <c r="O77" s="1">
        <f>SUM(OSRRefE21_7x_1)</f>
        <v>0</v>
      </c>
      <c r="Q77" s="2">
        <f>SUM(OSRRefD20_7x)+IFERROR(SUM(OSRRefE20_7x),0)</f>
        <v>1380.29</v>
      </c>
    </row>
    <row r="78" spans="1:17" s="34" customFormat="1" hidden="1" outlineLevel="1" x14ac:dyDescent="0.25">
      <c r="A78" s="35"/>
      <c r="B78" s="10" t="str">
        <f>CONCATENATE("          ","6279", " - ","GENERAL EXPENSE")</f>
        <v xml:space="preserve">          6279 - GENERAL EXPENSE</v>
      </c>
      <c r="C78" s="11"/>
      <c r="D78" s="2"/>
      <c r="E78" s="2"/>
      <c r="F78" s="2"/>
      <c r="G78" s="2"/>
      <c r="H78" s="2"/>
      <c r="I78" s="2">
        <v>1285.46</v>
      </c>
      <c r="J78" s="2"/>
      <c r="K78" s="2"/>
      <c r="L78" s="2"/>
      <c r="M78" s="2">
        <v>94.83</v>
      </c>
      <c r="N78" s="2">
        <v>0</v>
      </c>
      <c r="O78" s="2">
        <v>0</v>
      </c>
      <c r="P78" s="9"/>
      <c r="Q78" s="2">
        <f>SUM(OSRRefD21_7_0x)+IFERROR(SUM(OSRRefE21_7_0x),0)</f>
        <v>1380.29</v>
      </c>
    </row>
    <row r="79" spans="1:17" s="34" customFormat="1" collapsed="1" x14ac:dyDescent="0.25">
      <c r="A79" s="35"/>
      <c r="B79" s="11" t="str">
        <f>CONCATENATE("     ","Insurance                                         ")</f>
        <v xml:space="preserve">     Insurance                                         </v>
      </c>
      <c r="C79" s="11"/>
      <c r="D79" s="1">
        <f>SUM(OSRRefD21_8x_0)</f>
        <v>161.18</v>
      </c>
      <c r="E79" s="1">
        <f>SUM(OSRRefD21_8x_1)</f>
        <v>161.18</v>
      </c>
      <c r="F79" s="1">
        <f>SUM(OSRRefD21_8x_2)</f>
        <v>161.18</v>
      </c>
      <c r="G79" s="1">
        <f>SUM(OSRRefD21_8x_3)</f>
        <v>161.18</v>
      </c>
      <c r="H79" s="1">
        <f>SUM(OSRRefD21_8x_4)</f>
        <v>161.18</v>
      </c>
      <c r="I79" s="1">
        <f>SUM(OSRRefD21_8x_5)</f>
        <v>161.18</v>
      </c>
      <c r="J79" s="1">
        <f>SUM(OSRRefD21_8x_6)</f>
        <v>161.18</v>
      </c>
      <c r="K79" s="1">
        <f>SUM(OSRRefD21_8x_7)</f>
        <v>161.18</v>
      </c>
      <c r="L79" s="1">
        <f>SUM(OSRRefD21_8x_8)</f>
        <v>161.18</v>
      </c>
      <c r="M79" s="1">
        <f>SUM(OSRRefD21_8x_9)</f>
        <v>161.18</v>
      </c>
      <c r="N79" s="1">
        <f>SUM(OSRRefE21_8x_0)</f>
        <v>176</v>
      </c>
      <c r="O79" s="1">
        <f>SUM(OSRRefE21_8x_1)</f>
        <v>176</v>
      </c>
      <c r="Q79" s="2">
        <f>SUM(OSRRefD20_8x)+IFERROR(SUM(OSRRefE20_8x),0)</f>
        <v>1963.8000000000004</v>
      </c>
    </row>
    <row r="80" spans="1:17" s="34" customFormat="1" hidden="1" outlineLevel="1" x14ac:dyDescent="0.25">
      <c r="A80" s="35"/>
      <c r="B80" s="10" t="str">
        <f>CONCATENATE("          ","6314", " - ","LIABILITY INSURANCE")</f>
        <v xml:space="preserve">          6314 - LIABILITY INSURANCE</v>
      </c>
      <c r="C80" s="11"/>
      <c r="D80" s="2">
        <v>161.18</v>
      </c>
      <c r="E80" s="2">
        <v>161.18</v>
      </c>
      <c r="F80" s="2">
        <v>161.18</v>
      </c>
      <c r="G80" s="2">
        <v>161.18</v>
      </c>
      <c r="H80" s="2">
        <v>161.18</v>
      </c>
      <c r="I80" s="2">
        <v>161.18</v>
      </c>
      <c r="J80" s="2">
        <v>161.18</v>
      </c>
      <c r="K80" s="2">
        <v>161.18</v>
      </c>
      <c r="L80" s="2">
        <v>161.18</v>
      </c>
      <c r="M80" s="2">
        <v>161.18</v>
      </c>
      <c r="N80" s="2">
        <v>176</v>
      </c>
      <c r="O80" s="2">
        <v>176</v>
      </c>
      <c r="P80" s="9"/>
      <c r="Q80" s="2">
        <f>SUM(OSRRefD21_8_0x)+IFERROR(SUM(OSRRefE21_8_0x),0)</f>
        <v>1963.8000000000004</v>
      </c>
    </row>
    <row r="81" spans="1:17" s="34" customFormat="1" collapsed="1" x14ac:dyDescent="0.25">
      <c r="A81" s="35"/>
      <c r="B81" s="11" t="str">
        <f>CONCATENATE("     ","Inventory Adjustment                              ")</f>
        <v xml:space="preserve">     Inventory Adjustment                              </v>
      </c>
      <c r="C81" s="11"/>
      <c r="D81" s="1">
        <f>SUM(OSRRefD21_9x_0)</f>
        <v>100</v>
      </c>
      <c r="E81" s="1">
        <f>SUM(OSRRefD21_9x_1)</f>
        <v>100</v>
      </c>
      <c r="F81" s="1">
        <f>SUM(OSRRefD21_9x_2)</f>
        <v>100</v>
      </c>
      <c r="G81" s="1">
        <f>SUM(OSRRefD21_9x_3)</f>
        <v>100</v>
      </c>
      <c r="H81" s="1">
        <f>SUM(OSRRefD21_9x_4)</f>
        <v>100</v>
      </c>
      <c r="I81" s="1">
        <f>SUM(OSRRefD21_9x_5)</f>
        <v>100</v>
      </c>
      <c r="J81" s="1">
        <f>SUM(OSRRefD21_9x_6)</f>
        <v>100</v>
      </c>
      <c r="K81" s="1">
        <f>SUM(OSRRefD21_9x_7)</f>
        <v>100</v>
      </c>
      <c r="L81" s="1">
        <f>SUM(OSRRefD21_9x_8)</f>
        <v>100</v>
      </c>
      <c r="M81" s="1">
        <f>SUM(OSRRefD21_9x_9)</f>
        <v>100</v>
      </c>
      <c r="N81" s="1">
        <f>SUM(OSRRefE21_9x_0)</f>
        <v>100</v>
      </c>
      <c r="O81" s="1">
        <f>SUM(OSRRefE21_9x_1)</f>
        <v>100</v>
      </c>
      <c r="Q81" s="2">
        <f>SUM(OSRRefD20_9x)+IFERROR(SUM(OSRRefE20_9x),0)</f>
        <v>1200</v>
      </c>
    </row>
    <row r="82" spans="1:17" s="34" customFormat="1" hidden="1" outlineLevel="1" x14ac:dyDescent="0.25">
      <c r="A82" s="35"/>
      <c r="B82" s="10" t="str">
        <f>CONCATENATE("          ","6408", " - ","INVENTORY ADJUSTMENT")</f>
        <v xml:space="preserve">          6408 - INVENTORY ADJUSTMENT</v>
      </c>
      <c r="C82" s="11"/>
      <c r="D82" s="2">
        <v>100</v>
      </c>
      <c r="E82" s="2">
        <v>100</v>
      </c>
      <c r="F82" s="2">
        <v>100</v>
      </c>
      <c r="G82" s="2">
        <v>100</v>
      </c>
      <c r="H82" s="2">
        <v>100</v>
      </c>
      <c r="I82" s="2">
        <v>100</v>
      </c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100</v>
      </c>
      <c r="P82" s="9"/>
      <c r="Q82" s="2">
        <f>SUM(OSRRefD21_9_0x)+IFERROR(SUM(OSRRefE21_9_0x),0)</f>
        <v>1200</v>
      </c>
    </row>
    <row r="83" spans="1:17" s="34" customFormat="1" collapsed="1" x14ac:dyDescent="0.25">
      <c r="A83" s="35"/>
      <c r="B83" s="11" t="str">
        <f>CONCATENATE("     ","Professional Services                             ")</f>
        <v xml:space="preserve">     Professional Services                             </v>
      </c>
      <c r="C83" s="11"/>
      <c r="D83" s="1">
        <f>SUM(OSRRefD21_10x_0)</f>
        <v>0</v>
      </c>
      <c r="E83" s="1">
        <f>SUM(OSRRefD21_10x_1)</f>
        <v>0</v>
      </c>
      <c r="F83" s="1">
        <f>SUM(OSRRefD21_10x_2)</f>
        <v>0</v>
      </c>
      <c r="G83" s="1">
        <f>SUM(OSRRefD21_10x_3)</f>
        <v>0</v>
      </c>
      <c r="H83" s="1">
        <f>SUM(OSRRefD21_10x_4)</f>
        <v>0</v>
      </c>
      <c r="I83" s="1">
        <f>SUM(OSRRefD21_10x_5)</f>
        <v>0</v>
      </c>
      <c r="J83" s="1">
        <f>SUM(OSRRefD21_10x_6)</f>
        <v>0</v>
      </c>
      <c r="K83" s="1">
        <f>SUM(OSRRefD21_10x_7)</f>
        <v>0</v>
      </c>
      <c r="L83" s="1">
        <f>SUM(OSRRefD21_10x_8)</f>
        <v>0</v>
      </c>
      <c r="M83" s="1">
        <f>SUM(OSRRefD21_10x_9)</f>
        <v>0</v>
      </c>
      <c r="N83" s="1">
        <f>SUM(OSRRefE21_10x_0)</f>
        <v>0</v>
      </c>
      <c r="O83" s="1">
        <f>SUM(OSRRefE21_10x_1)</f>
        <v>0</v>
      </c>
      <c r="Q83" s="2">
        <f>SUM(OSRRefD20_10x)+IFERROR(SUM(OSRRefE20_10x),0)</f>
        <v>0</v>
      </c>
    </row>
    <row r="84" spans="1:17" s="34" customFormat="1" hidden="1" outlineLevel="1" x14ac:dyDescent="0.25">
      <c r="A84" s="35"/>
      <c r="B84" s="10" t="str">
        <f>CONCATENATE("          ","6336", " - ","PROFESSIONAL SERVICES")</f>
        <v xml:space="preserve">          6336 - PROFESSIONAL SERVICES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>
        <v>0</v>
      </c>
      <c r="O84" s="2">
        <v>0</v>
      </c>
      <c r="P84" s="9"/>
      <c r="Q84" s="2">
        <f>SUM(OSRRefD21_10_0x)+IFERROR(SUM(OSRRefE21_10_0x),0)</f>
        <v>0</v>
      </c>
    </row>
    <row r="85" spans="1:17" s="34" customFormat="1" collapsed="1" x14ac:dyDescent="0.25">
      <c r="A85" s="35"/>
      <c r="B85" s="11" t="str">
        <f>CONCATENATE("     ","Rent                                              ")</f>
        <v xml:space="preserve">     Rent                                              </v>
      </c>
      <c r="C85" s="11"/>
      <c r="D85" s="1">
        <f>SUM(OSRRefD21_11x_0)</f>
        <v>6900</v>
      </c>
      <c r="E85" s="1">
        <f>SUM(OSRRefD21_11x_1)</f>
        <v>6900</v>
      </c>
      <c r="F85" s="1">
        <f>SUM(OSRRefD21_11x_2)</f>
        <v>6900</v>
      </c>
      <c r="G85" s="1">
        <f>SUM(OSRRefD21_11x_3)</f>
        <v>6900</v>
      </c>
      <c r="H85" s="1">
        <f>SUM(OSRRefD21_11x_4)</f>
        <v>6900</v>
      </c>
      <c r="I85" s="1">
        <f>SUM(OSRRefD21_11x_5)</f>
        <v>6900</v>
      </c>
      <c r="J85" s="1">
        <f>SUM(OSRRefD21_11x_6)</f>
        <v>6900</v>
      </c>
      <c r="K85" s="1">
        <f>SUM(OSRRefD21_11x_7)</f>
        <v>6900</v>
      </c>
      <c r="L85" s="1">
        <f>SUM(OSRRefD21_11x_8)</f>
        <v>6900</v>
      </c>
      <c r="M85" s="1">
        <f>SUM(OSRRefD21_11x_9)</f>
        <v>6900</v>
      </c>
      <c r="N85" s="1">
        <f>SUM(OSRRefE21_11x_0)</f>
        <v>6900</v>
      </c>
      <c r="O85" s="1">
        <f>SUM(OSRRefE21_11x_1)</f>
        <v>6900</v>
      </c>
      <c r="Q85" s="2">
        <f>SUM(OSRRefD20_11x)+IFERROR(SUM(OSRRefE20_11x),0)</f>
        <v>82800</v>
      </c>
    </row>
    <row r="86" spans="1:17" s="34" customFormat="1" hidden="1" outlineLevel="1" x14ac:dyDescent="0.25">
      <c r="A86" s="35"/>
      <c r="B86" s="10" t="str">
        <f>CONCATENATE("          ","6273", " - ","RENT")</f>
        <v xml:space="preserve">          6273 - RENT</v>
      </c>
      <c r="C86" s="11"/>
      <c r="D86" s="2">
        <v>6900</v>
      </c>
      <c r="E86" s="2">
        <v>6900</v>
      </c>
      <c r="F86" s="2">
        <v>6900</v>
      </c>
      <c r="G86" s="2">
        <v>6900</v>
      </c>
      <c r="H86" s="2">
        <v>6900</v>
      </c>
      <c r="I86" s="2">
        <v>6900</v>
      </c>
      <c r="J86" s="2">
        <v>6900</v>
      </c>
      <c r="K86" s="2">
        <v>6900</v>
      </c>
      <c r="L86" s="2">
        <v>6900</v>
      </c>
      <c r="M86" s="2">
        <v>6900</v>
      </c>
      <c r="N86" s="2">
        <v>6900</v>
      </c>
      <c r="O86" s="2">
        <v>6900</v>
      </c>
      <c r="P86" s="9"/>
      <c r="Q86" s="2">
        <f>SUM(OSRRefD21_11_0x)+IFERROR(SUM(OSRRefE21_11_0x),0)</f>
        <v>82800</v>
      </c>
    </row>
    <row r="87" spans="1:17" s="34" customFormat="1" collapsed="1" x14ac:dyDescent="0.25">
      <c r="A87" s="35"/>
      <c r="B87" s="11" t="str">
        <f>CONCATENATE("     ","Repair and Maintenance                            ")</f>
        <v xml:space="preserve">     Repair and Maintenance                            </v>
      </c>
      <c r="C87" s="11"/>
      <c r="D87" s="1">
        <f>SUM(OSRRefD21_12x_0)</f>
        <v>0</v>
      </c>
      <c r="E87" s="1">
        <f>SUM(OSRRefD21_12x_1)</f>
        <v>0</v>
      </c>
      <c r="F87" s="1">
        <f>SUM(OSRRefD21_12x_2)</f>
        <v>48.21</v>
      </c>
      <c r="G87" s="1">
        <f>SUM(OSRRefD21_12x_3)</f>
        <v>0</v>
      </c>
      <c r="H87" s="1">
        <f>SUM(OSRRefD21_12x_4)</f>
        <v>0</v>
      </c>
      <c r="I87" s="1">
        <f>SUM(OSRRefD21_12x_5)</f>
        <v>48.23</v>
      </c>
      <c r="J87" s="1">
        <f>SUM(OSRRefD21_12x_6)</f>
        <v>0</v>
      </c>
      <c r="K87" s="1">
        <f>SUM(OSRRefD21_12x_7)</f>
        <v>-0.52</v>
      </c>
      <c r="L87" s="1">
        <f>SUM(OSRRefD21_12x_8)</f>
        <v>213.79</v>
      </c>
      <c r="M87" s="1">
        <f>SUM(OSRRefD21_12x_9)</f>
        <v>0</v>
      </c>
      <c r="N87" s="1">
        <f>SUM(OSRRefE21_12x_0)</f>
        <v>100</v>
      </c>
      <c r="O87" s="1">
        <f>SUM(OSRRefE21_12x_1)</f>
        <v>0</v>
      </c>
      <c r="Q87" s="2">
        <f>SUM(OSRRefD20_12x)+IFERROR(SUM(OSRRefE20_12x),0)</f>
        <v>409.71</v>
      </c>
    </row>
    <row r="88" spans="1:17" s="34" customFormat="1" hidden="1" outlineLevel="1" x14ac:dyDescent="0.25">
      <c r="A88" s="35"/>
      <c r="B88" s="10" t="str">
        <f>CONCATENATE("          ","6372", " - ","COMPUTER HARDWARE MAINTENANCE")</f>
        <v xml:space="preserve">          6372 - COMPUTER HARDWARE MAINTENANCE</v>
      </c>
      <c r="C88" s="11"/>
      <c r="D88" s="2"/>
      <c r="E88" s="2"/>
      <c r="F88" s="2"/>
      <c r="G88" s="2">
        <v>0</v>
      </c>
      <c r="H88" s="2"/>
      <c r="I88" s="2"/>
      <c r="J88" s="2"/>
      <c r="K88" s="2">
        <v>-0.52</v>
      </c>
      <c r="L88" s="2"/>
      <c r="M88" s="2"/>
      <c r="N88" s="2"/>
      <c r="O88" s="2"/>
      <c r="P88" s="9"/>
      <c r="Q88" s="2">
        <f>SUM(OSRRefD21_12_0x)+IFERROR(SUM(OSRRefE21_12_0x),0)</f>
        <v>-0.52</v>
      </c>
    </row>
    <row r="89" spans="1:17" s="34" customFormat="1" hidden="1" outlineLevel="1" x14ac:dyDescent="0.25">
      <c r="A89" s="35"/>
      <c r="B89" s="10" t="str">
        <f>CONCATENATE("          ","6373", " - ","MAINTENANCE CONTRACTS")</f>
        <v xml:space="preserve">          6373 - MAINTENANCE CONTRACTS</v>
      </c>
      <c r="C89" s="11"/>
      <c r="D89" s="2"/>
      <c r="E89" s="2"/>
      <c r="F89" s="2">
        <v>48.21</v>
      </c>
      <c r="G89" s="2"/>
      <c r="H89" s="2"/>
      <c r="I89" s="2">
        <v>48.23</v>
      </c>
      <c r="J89" s="2"/>
      <c r="K89" s="2"/>
      <c r="L89" s="2">
        <v>48.23</v>
      </c>
      <c r="M89" s="2"/>
      <c r="N89" s="2"/>
      <c r="O89" s="2"/>
      <c r="P89" s="9"/>
      <c r="Q89" s="2">
        <f>SUM(OSRRefD21_12_1x)+IFERROR(SUM(OSRRefE21_12_1x),0)</f>
        <v>144.66999999999999</v>
      </c>
    </row>
    <row r="90" spans="1:17" s="34" customFormat="1" hidden="1" outlineLevel="1" x14ac:dyDescent="0.25">
      <c r="A90" s="35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>
        <v>165.56</v>
      </c>
      <c r="M90" s="2"/>
      <c r="N90" s="2">
        <v>100</v>
      </c>
      <c r="O90" s="2"/>
      <c r="P90" s="9"/>
      <c r="Q90" s="2">
        <f>SUM(OSRRefD21_12_2x)+IFERROR(SUM(OSRRefE21_12_2x),0)</f>
        <v>265.56</v>
      </c>
    </row>
    <row r="91" spans="1:17" s="34" customFormat="1" collapsed="1" x14ac:dyDescent="0.25">
      <c r="A91" s="35"/>
      <c r="B91" s="11" t="str">
        <f>CONCATENATE("     ","Services                                          ")</f>
        <v xml:space="preserve">     Services                                          </v>
      </c>
      <c r="C91" s="11"/>
      <c r="D91" s="1">
        <f>SUM(OSRRefD21_13x_0)</f>
        <v>-333.44</v>
      </c>
      <c r="E91" s="1">
        <f>SUM(OSRRefD21_13x_1)</f>
        <v>81.84</v>
      </c>
      <c r="F91" s="1">
        <f>SUM(OSRRefD21_13x_2)</f>
        <v>142.57</v>
      </c>
      <c r="G91" s="1">
        <f>SUM(OSRRefD21_13x_3)</f>
        <v>96.860000000000014</v>
      </c>
      <c r="H91" s="1">
        <f>SUM(OSRRefD21_13x_4)</f>
        <v>-19.419999999999995</v>
      </c>
      <c r="I91" s="1">
        <f>SUM(OSRRefD21_13x_5)</f>
        <v>224.41</v>
      </c>
      <c r="J91" s="1">
        <f>SUM(OSRRefD21_13x_6)</f>
        <v>81.84</v>
      </c>
      <c r="K91" s="1">
        <f>SUM(OSRRefD21_13x_7)</f>
        <v>81.84</v>
      </c>
      <c r="L91" s="1">
        <f>SUM(OSRRefD21_13x_8)</f>
        <v>250.83999999999997</v>
      </c>
      <c r="M91" s="1">
        <f>SUM(OSRRefD21_13x_9)</f>
        <v>155.59</v>
      </c>
      <c r="N91" s="1">
        <f>SUM(OSRRefE21_13x_0)</f>
        <v>155</v>
      </c>
      <c r="O91" s="1">
        <f>SUM(OSRRefE21_13x_1)</f>
        <v>210</v>
      </c>
      <c r="Q91" s="2">
        <f>SUM(OSRRefD20_13x)+IFERROR(SUM(OSRRefE20_13x),0)</f>
        <v>1127.9299999999998</v>
      </c>
    </row>
    <row r="92" spans="1:17" s="34" customFormat="1" hidden="1" outlineLevel="1" x14ac:dyDescent="0.25">
      <c r="A92" s="35"/>
      <c r="B92" s="10" t="str">
        <f>CONCATENATE("          ","6283", " - ","PLANT SERVICE")</f>
        <v xml:space="preserve">          6283 - PLANT SERVICE</v>
      </c>
      <c r="C92" s="11"/>
      <c r="D92" s="2"/>
      <c r="E92" s="2"/>
      <c r="F92" s="2"/>
      <c r="G92" s="2"/>
      <c r="H92" s="2">
        <v>41.31</v>
      </c>
      <c r="I92" s="2"/>
      <c r="J92" s="2"/>
      <c r="K92" s="2"/>
      <c r="L92" s="2"/>
      <c r="M92" s="2"/>
      <c r="N92" s="2">
        <v>0</v>
      </c>
      <c r="O92" s="2">
        <v>0</v>
      </c>
      <c r="P92" s="9"/>
      <c r="Q92" s="2">
        <f>SUM(OSRRefD21_13_0x)+IFERROR(SUM(OSRRefE21_13_0x),0)</f>
        <v>41.31</v>
      </c>
    </row>
    <row r="93" spans="1:17" s="34" customFormat="1" hidden="1" outlineLevel="1" x14ac:dyDescent="0.25">
      <c r="A93" s="35"/>
      <c r="B93" s="10" t="str">
        <f>CONCATENATE("          ","6284", " - ","TRASH REMOVAL EXPENSE")</f>
        <v xml:space="preserve">          6284 - TRASH REMOVAL EXPENSE</v>
      </c>
      <c r="C93" s="11"/>
      <c r="D93" s="2">
        <v>142.57</v>
      </c>
      <c r="E93" s="2">
        <v>142.57</v>
      </c>
      <c r="F93" s="2">
        <v>142.57</v>
      </c>
      <c r="G93" s="2">
        <v>157.59</v>
      </c>
      <c r="H93" s="2"/>
      <c r="I93" s="2">
        <v>285.14</v>
      </c>
      <c r="J93" s="2">
        <v>142.57</v>
      </c>
      <c r="K93" s="2">
        <v>142.57</v>
      </c>
      <c r="L93" s="2">
        <v>142.57</v>
      </c>
      <c r="M93" s="2">
        <v>142.57</v>
      </c>
      <c r="N93" s="2">
        <v>55</v>
      </c>
      <c r="O93" s="2">
        <v>110</v>
      </c>
      <c r="P93" s="9"/>
      <c r="Q93" s="2">
        <f>SUM(OSRRefD21_13_1x)+IFERROR(SUM(OSRRefE21_13_1x),0)</f>
        <v>1605.7199999999998</v>
      </c>
    </row>
    <row r="94" spans="1:17" s="34" customFormat="1" hidden="1" outlineLevel="1" x14ac:dyDescent="0.25">
      <c r="A94" s="35"/>
      <c r="B94" s="10" t="str">
        <f>CONCATENATE("          ","6285", " - ","JANITORIAL SERVICES")</f>
        <v xml:space="preserve">          6285 - JANITORIAL SERVICES</v>
      </c>
      <c r="C94" s="11"/>
      <c r="D94" s="2">
        <v>-476.01</v>
      </c>
      <c r="E94" s="2">
        <v>-60.73</v>
      </c>
      <c r="F94" s="2"/>
      <c r="G94" s="2">
        <v>-60.73</v>
      </c>
      <c r="H94" s="2">
        <v>-60.73</v>
      </c>
      <c r="I94" s="2">
        <v>-60.73</v>
      </c>
      <c r="J94" s="2">
        <v>-60.73</v>
      </c>
      <c r="K94" s="2">
        <v>-60.73</v>
      </c>
      <c r="L94" s="2">
        <v>108.27</v>
      </c>
      <c r="M94" s="2">
        <v>13.02</v>
      </c>
      <c r="N94" s="2">
        <v>100</v>
      </c>
      <c r="O94" s="2">
        <v>100</v>
      </c>
      <c r="P94" s="9"/>
      <c r="Q94" s="2">
        <f>SUM(OSRRefD21_13_2x)+IFERROR(SUM(OSRRefE21_13_2x),0)</f>
        <v>-519.10000000000014</v>
      </c>
    </row>
    <row r="95" spans="1:17" s="34" customFormat="1" collapsed="1" x14ac:dyDescent="0.25">
      <c r="A95" s="35"/>
      <c r="B95" s="11" t="str">
        <f>CONCATENATE("     ","Subscriptions &amp; Dues                              ")</f>
        <v xml:space="preserve">     Subscriptions &amp; Dues                              </v>
      </c>
      <c r="C95" s="11"/>
      <c r="D95" s="1">
        <f>SUM(OSRRefD21_14x_0)</f>
        <v>75</v>
      </c>
      <c r="E95" s="1">
        <f>SUM(OSRRefD21_14x_1)</f>
        <v>0</v>
      </c>
      <c r="F95" s="1">
        <f>SUM(OSRRefD21_14x_2)</f>
        <v>0</v>
      </c>
      <c r="G95" s="1">
        <f>SUM(OSRRefD21_14x_3)</f>
        <v>75</v>
      </c>
      <c r="H95" s="1">
        <f>SUM(OSRRefD21_14x_4)</f>
        <v>0</v>
      </c>
      <c r="I95" s="1">
        <f>SUM(OSRRefD21_14x_5)</f>
        <v>-60.73</v>
      </c>
      <c r="J95" s="1">
        <f>SUM(OSRRefD21_14x_6)</f>
        <v>75</v>
      </c>
      <c r="K95" s="1">
        <f>SUM(OSRRefD21_14x_7)</f>
        <v>0</v>
      </c>
      <c r="L95" s="1">
        <f>SUM(OSRRefD21_14x_8)</f>
        <v>75</v>
      </c>
      <c r="M95" s="1">
        <f>SUM(OSRRefD21_14x_9)</f>
        <v>2014.87</v>
      </c>
      <c r="N95" s="1">
        <f>SUM(OSRRefE21_14x_0)</f>
        <v>0</v>
      </c>
      <c r="O95" s="1">
        <f>SUM(OSRRefE21_14x_1)</f>
        <v>200</v>
      </c>
      <c r="Q95" s="2">
        <f>SUM(OSRRefD20_14x)+IFERROR(SUM(OSRRefE20_14x),0)</f>
        <v>2454.14</v>
      </c>
    </row>
    <row r="96" spans="1:17" s="34" customFormat="1" hidden="1" outlineLevel="1" x14ac:dyDescent="0.25">
      <c r="A96" s="35"/>
      <c r="B96" s="10" t="str">
        <f>CONCATENATE("          ","6258", " - ","MEMBERSHIP DUES")</f>
        <v xml:space="preserve">          6258 - MEMBERSHIP DUES</v>
      </c>
      <c r="C96" s="11"/>
      <c r="D96" s="2"/>
      <c r="E96" s="2"/>
      <c r="F96" s="2"/>
      <c r="G96" s="2"/>
      <c r="H96" s="2"/>
      <c r="I96" s="2">
        <v>-60.73</v>
      </c>
      <c r="J96" s="2"/>
      <c r="K96" s="2"/>
      <c r="L96" s="2"/>
      <c r="M96" s="2"/>
      <c r="N96" s="2">
        <v>0</v>
      </c>
      <c r="O96" s="2">
        <v>200</v>
      </c>
      <c r="P96" s="9"/>
      <c r="Q96" s="2">
        <f>SUM(OSRRefD21_14_0x)+IFERROR(SUM(OSRRefE21_14_0x),0)</f>
        <v>139.27000000000001</v>
      </c>
    </row>
    <row r="97" spans="1:17" s="34" customFormat="1" hidden="1" outlineLevel="1" x14ac:dyDescent="0.25">
      <c r="A97" s="35"/>
      <c r="B97" s="10" t="str">
        <f>CONCATENATE("          ","6275", " - ","SUBSCRIPTIONS")</f>
        <v xml:space="preserve">          6275 - SUBSCRIPTIONS</v>
      </c>
      <c r="C97" s="11"/>
      <c r="D97" s="2">
        <v>75</v>
      </c>
      <c r="E97" s="2"/>
      <c r="F97" s="2"/>
      <c r="G97" s="2">
        <v>75</v>
      </c>
      <c r="H97" s="2"/>
      <c r="I97" s="2"/>
      <c r="J97" s="2">
        <v>75</v>
      </c>
      <c r="K97" s="2"/>
      <c r="L97" s="2">
        <v>75</v>
      </c>
      <c r="M97" s="2">
        <v>2014.87</v>
      </c>
      <c r="N97" s="2">
        <v>0</v>
      </c>
      <c r="O97" s="2">
        <v>0</v>
      </c>
      <c r="P97" s="9"/>
      <c r="Q97" s="2">
        <f>SUM(OSRRefD21_14_1x)+IFERROR(SUM(OSRRefE21_14_1x),0)</f>
        <v>2314.87</v>
      </c>
    </row>
    <row r="98" spans="1:17" s="34" customFormat="1" collapsed="1" x14ac:dyDescent="0.25">
      <c r="A98" s="35"/>
      <c r="B98" s="11" t="str">
        <f>CONCATENATE("     ","Supplies                                          ")</f>
        <v xml:space="preserve">     Supplies                                          </v>
      </c>
      <c r="C98" s="11"/>
      <c r="D98" s="1">
        <f>SUM(OSRRefD21_15x_0)</f>
        <v>139.31</v>
      </c>
      <c r="E98" s="1">
        <f>SUM(OSRRefD21_15x_1)</f>
        <v>4.96</v>
      </c>
      <c r="F98" s="1">
        <f>SUM(OSRRefD21_15x_2)</f>
        <v>265.7</v>
      </c>
      <c r="G98" s="1">
        <f>SUM(OSRRefD21_15x_3)</f>
        <v>52.43</v>
      </c>
      <c r="H98" s="1">
        <f>SUM(OSRRefD21_15x_4)</f>
        <v>79.86</v>
      </c>
      <c r="I98" s="1">
        <f>SUM(OSRRefD21_15x_5)</f>
        <v>10.94</v>
      </c>
      <c r="J98" s="1">
        <f>SUM(OSRRefD21_15x_6)</f>
        <v>0</v>
      </c>
      <c r="K98" s="1">
        <f>SUM(OSRRefD21_15x_7)</f>
        <v>5.95</v>
      </c>
      <c r="L98" s="1">
        <f>SUM(OSRRefD21_15x_8)</f>
        <v>0</v>
      </c>
      <c r="M98" s="1">
        <f>SUM(OSRRefD21_15x_9)</f>
        <v>270.08999999999997</v>
      </c>
      <c r="N98" s="1">
        <f>SUM(OSRRefE21_15x_0)</f>
        <v>170</v>
      </c>
      <c r="O98" s="1">
        <f>SUM(OSRRefE21_15x_1)</f>
        <v>120</v>
      </c>
      <c r="Q98" s="2">
        <f>SUM(OSRRefD20_15x)+IFERROR(SUM(OSRRefE20_15x),0)</f>
        <v>1119.24</v>
      </c>
    </row>
    <row r="99" spans="1:17" s="34" customFormat="1" hidden="1" outlineLevel="1" x14ac:dyDescent="0.25">
      <c r="A99" s="35"/>
      <c r="B99" s="10" t="str">
        <f>CONCATENATE("          ","6234", " - ","EXPENDABLE SUPPLIES &amp; EQUIPMEN")</f>
        <v xml:space="preserve">          6234 - EXPENDABLE SUPPLIES &amp; EQUIPMEN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>
        <v>0</v>
      </c>
      <c r="O99" s="2">
        <v>0</v>
      </c>
      <c r="P99" s="9"/>
      <c r="Q99" s="2">
        <f>SUM(OSRRefD21_15_0x)+IFERROR(SUM(OSRRefE21_15_0x),0)</f>
        <v>0</v>
      </c>
    </row>
    <row r="100" spans="1:17" s="34" customFormat="1" hidden="1" outlineLevel="1" x14ac:dyDescent="0.25">
      <c r="A100" s="35"/>
      <c r="B100" s="10" t="str">
        <f>CONCATENATE("          ","6235", " - ","COVID-19 EXPENSES")</f>
        <v xml:space="preserve">          6235 - COVID-19 EXPENSES</v>
      </c>
      <c r="C100" s="11"/>
      <c r="D100" s="2"/>
      <c r="E100" s="2"/>
      <c r="F100" s="2">
        <v>265.7</v>
      </c>
      <c r="G100" s="2"/>
      <c r="H100" s="2"/>
      <c r="I100" s="2"/>
      <c r="J100" s="2"/>
      <c r="K100" s="2"/>
      <c r="L100" s="2"/>
      <c r="M100" s="2"/>
      <c r="N100" s="2">
        <v>100</v>
      </c>
      <c r="O100" s="2">
        <v>100</v>
      </c>
      <c r="P100" s="9"/>
      <c r="Q100" s="2">
        <f>SUM(OSRRefD21_15_1x)+IFERROR(SUM(OSRRefE21_15_1x),0)</f>
        <v>465.7</v>
      </c>
    </row>
    <row r="101" spans="1:17" s="34" customFormat="1" hidden="1" outlineLevel="1" x14ac:dyDescent="0.25">
      <c r="A101" s="35"/>
      <c r="B101" s="10" t="str">
        <f>CONCATENATE("          ","6237", " - ","JANITORIAL SUPPLIES")</f>
        <v xml:space="preserve">          6237 - JANITORIAL SUPPLIES</v>
      </c>
      <c r="C101" s="11"/>
      <c r="D101" s="2">
        <v>139.31</v>
      </c>
      <c r="E101" s="2"/>
      <c r="F101" s="2"/>
      <c r="G101" s="2">
        <v>52.43</v>
      </c>
      <c r="H101" s="2"/>
      <c r="I101" s="2"/>
      <c r="J101" s="2"/>
      <c r="K101" s="2"/>
      <c r="L101" s="2"/>
      <c r="M101" s="2"/>
      <c r="N101" s="2">
        <v>20</v>
      </c>
      <c r="O101" s="2">
        <v>20</v>
      </c>
      <c r="P101" s="9"/>
      <c r="Q101" s="2">
        <f>SUM(OSRRefD21_15_2x)+IFERROR(SUM(OSRRefE21_15_2x),0)</f>
        <v>231.74</v>
      </c>
    </row>
    <row r="102" spans="1:17" s="34" customFormat="1" hidden="1" outlineLevel="1" x14ac:dyDescent="0.25">
      <c r="A102" s="35"/>
      <c r="B102" s="10" t="str">
        <f>CONCATENATE("          ","6241", " - ","OFFICE EXPENSE")</f>
        <v xml:space="preserve">          6241 - OFFICE EXPENSE</v>
      </c>
      <c r="C102" s="11"/>
      <c r="D102" s="2"/>
      <c r="E102" s="2">
        <v>4.96</v>
      </c>
      <c r="F102" s="2"/>
      <c r="G102" s="2"/>
      <c r="H102" s="2">
        <v>79.86</v>
      </c>
      <c r="I102" s="2">
        <v>10.94</v>
      </c>
      <c r="J102" s="2"/>
      <c r="K102" s="2">
        <v>5.95</v>
      </c>
      <c r="L102" s="2"/>
      <c r="M102" s="2">
        <v>270.08999999999997</v>
      </c>
      <c r="N102" s="2">
        <v>25</v>
      </c>
      <c r="O102" s="2">
        <v>0</v>
      </c>
      <c r="P102" s="9"/>
      <c r="Q102" s="2">
        <f>SUM(OSRRefD21_15_3x)+IFERROR(SUM(OSRRefE21_15_3x),0)</f>
        <v>396.79999999999995</v>
      </c>
    </row>
    <row r="103" spans="1:17" s="34" customFormat="1" hidden="1" outlineLevel="1" x14ac:dyDescent="0.25">
      <c r="A103" s="35"/>
      <c r="B103" s="10" t="str">
        <f>CONCATENATE("          ","6244", " - ","SAFETY SUPPLY EXPENSE")</f>
        <v xml:space="preserve">          6244 - SAFETY SUPPLY EXPENSE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>
        <v>0</v>
      </c>
      <c r="O103" s="2">
        <v>0</v>
      </c>
      <c r="P103" s="9"/>
      <c r="Q103" s="2">
        <f>SUM(OSRRefD21_15_4x)+IFERROR(SUM(OSRRefE21_15_4x),0)</f>
        <v>0</v>
      </c>
    </row>
    <row r="104" spans="1:17" s="34" customFormat="1" hidden="1" outlineLevel="1" x14ac:dyDescent="0.25">
      <c r="A104" s="35"/>
      <c r="B104" s="10" t="str">
        <f>CONCATENATE("          ","6247", " - ","STORE SUPPLIES")</f>
        <v xml:space="preserve">          6247 - STORE SUPPLIES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>
        <v>25</v>
      </c>
      <c r="O104" s="2">
        <v>0</v>
      </c>
      <c r="P104" s="9"/>
      <c r="Q104" s="2">
        <f>SUM(OSRRefD21_15_5x)+IFERROR(SUM(OSRRefE21_15_5x),0)</f>
        <v>25</v>
      </c>
    </row>
    <row r="105" spans="1:17" s="34" customFormat="1" collapsed="1" x14ac:dyDescent="0.25">
      <c r="A105" s="35"/>
      <c r="B105" s="11" t="str">
        <f>CONCATENATE("     ","Telephone/Data Lines                              ")</f>
        <v xml:space="preserve">     Telephone/Data Lines                              </v>
      </c>
      <c r="C105" s="11"/>
      <c r="D105" s="1">
        <f>SUM(OSRRefD21_16x_0)</f>
        <v>278.32</v>
      </c>
      <c r="E105" s="1">
        <f>SUM(OSRRefD21_16x_1)</f>
        <v>281.48</v>
      </c>
      <c r="F105" s="1">
        <f>SUM(OSRRefD21_16x_2)</f>
        <v>511.48</v>
      </c>
      <c r="G105" s="1">
        <f>SUM(OSRRefD21_16x_3)</f>
        <v>281.48</v>
      </c>
      <c r="H105" s="1">
        <f>SUM(OSRRefD21_16x_4)</f>
        <v>281.48</v>
      </c>
      <c r="I105" s="1">
        <f>SUM(OSRRefD21_16x_5)</f>
        <v>431.48</v>
      </c>
      <c r="J105" s="1">
        <f>SUM(OSRRefD21_16x_6)</f>
        <v>231.48</v>
      </c>
      <c r="K105" s="1">
        <f>SUM(OSRRefD21_16x_7)</f>
        <v>30.44</v>
      </c>
      <c r="L105" s="1">
        <f>SUM(OSRRefD21_16x_8)</f>
        <v>231.15</v>
      </c>
      <c r="M105" s="1">
        <f>SUM(OSRRefD21_16x_9)</f>
        <v>232.15</v>
      </c>
      <c r="N105" s="1">
        <f>SUM(OSRRefE21_16x_0)</f>
        <v>230</v>
      </c>
      <c r="O105" s="1">
        <f>SUM(OSRRefE21_16x_1)</f>
        <v>230</v>
      </c>
      <c r="Q105" s="2">
        <f>SUM(OSRRefD20_16x)+IFERROR(SUM(OSRRefE20_16x),0)</f>
        <v>3250.9400000000005</v>
      </c>
    </row>
    <row r="106" spans="1:17" s="34" customFormat="1" hidden="1" outlineLevel="1" x14ac:dyDescent="0.25">
      <c r="A106" s="35"/>
      <c r="B106" s="10" t="str">
        <f>CONCATENATE("          ","6303", " - ","DATA PHONE LINES")</f>
        <v xml:space="preserve">          6303 - DATA PHONE LINES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>
        <v>230</v>
      </c>
      <c r="O106" s="2">
        <v>230</v>
      </c>
      <c r="P106" s="9"/>
      <c r="Q106" s="2">
        <f>SUM(OSRRefD21_16_0x)+IFERROR(SUM(OSRRefE21_16_0x),0)</f>
        <v>460</v>
      </c>
    </row>
    <row r="107" spans="1:17" s="34" customFormat="1" hidden="1" outlineLevel="1" x14ac:dyDescent="0.25">
      <c r="A107" s="35"/>
      <c r="B107" s="10" t="str">
        <f>CONCATENATE("          ","6309", " - ","TELEPHONE")</f>
        <v xml:space="preserve">          6309 - TELEPHONE</v>
      </c>
      <c r="C107" s="11"/>
      <c r="D107" s="2">
        <v>278.32</v>
      </c>
      <c r="E107" s="2">
        <v>281.48</v>
      </c>
      <c r="F107" s="2">
        <v>511.48</v>
      </c>
      <c r="G107" s="2">
        <v>281.48</v>
      </c>
      <c r="H107" s="2">
        <v>281.48</v>
      </c>
      <c r="I107" s="2">
        <v>431.48</v>
      </c>
      <c r="J107" s="2">
        <v>231.48</v>
      </c>
      <c r="K107" s="2">
        <v>30.44</v>
      </c>
      <c r="L107" s="2">
        <v>231.15</v>
      </c>
      <c r="M107" s="2">
        <v>232.15</v>
      </c>
      <c r="N107" s="2"/>
      <c r="O107" s="2"/>
      <c r="P107" s="9"/>
      <c r="Q107" s="2">
        <f>SUM(OSRRefD21_16_1x)+IFERROR(SUM(OSRRefE21_16_1x),0)</f>
        <v>2790.9400000000005</v>
      </c>
    </row>
    <row r="108" spans="1:17" s="34" customFormat="1" collapsed="1" x14ac:dyDescent="0.25">
      <c r="A108" s="35"/>
      <c r="B108" s="11" t="str">
        <f>CONCATENATE("     ","Training                                          ")</f>
        <v xml:space="preserve">     Training                                          </v>
      </c>
      <c r="C108" s="11"/>
      <c r="D108" s="1">
        <f>SUM(OSRRefD21_17x_0)</f>
        <v>0</v>
      </c>
      <c r="E108" s="1">
        <f>SUM(OSRRefD21_17x_1)</f>
        <v>0</v>
      </c>
      <c r="F108" s="1">
        <f>SUM(OSRRefD21_17x_2)</f>
        <v>0</v>
      </c>
      <c r="G108" s="1">
        <f>SUM(OSRRefD21_17x_3)</f>
        <v>0</v>
      </c>
      <c r="H108" s="1">
        <f>SUM(OSRRefD21_17x_4)</f>
        <v>0</v>
      </c>
      <c r="I108" s="1">
        <f>SUM(OSRRefD21_17x_5)</f>
        <v>0</v>
      </c>
      <c r="J108" s="1">
        <f>SUM(OSRRefD21_17x_6)</f>
        <v>0</v>
      </c>
      <c r="K108" s="1">
        <f>SUM(OSRRefD21_17x_7)</f>
        <v>0</v>
      </c>
      <c r="L108" s="1">
        <f>SUM(OSRRefD21_17x_8)</f>
        <v>0</v>
      </c>
      <c r="M108" s="1">
        <f>SUM(OSRRefD21_17x_9)</f>
        <v>0</v>
      </c>
      <c r="N108" s="1">
        <f>SUM(OSRRefE21_17x_0)</f>
        <v>0</v>
      </c>
      <c r="O108" s="1">
        <f>SUM(OSRRefE21_17x_1)</f>
        <v>0</v>
      </c>
      <c r="Q108" s="2">
        <f>SUM(OSRRefD20_17x)+IFERROR(SUM(OSRRefE20_17x),0)</f>
        <v>0</v>
      </c>
    </row>
    <row r="109" spans="1:17" s="34" customFormat="1" hidden="1" outlineLevel="1" x14ac:dyDescent="0.25">
      <c r="A109" s="35"/>
      <c r="B109" s="10" t="str">
        <f>CONCATENATE("          ","6376", " - ","TRAINING")</f>
        <v xml:space="preserve">          6376 - TRAINING</v>
      </c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>
        <v>0</v>
      </c>
      <c r="O109" s="2">
        <v>0</v>
      </c>
      <c r="P109" s="9"/>
      <c r="Q109" s="2">
        <f>SUM(OSRRefD21_17_0x)+IFERROR(SUM(OSRRefE21_17_0x),0)</f>
        <v>0</v>
      </c>
    </row>
    <row r="110" spans="1:17" s="34" customFormat="1" collapsed="1" x14ac:dyDescent="0.25">
      <c r="A110" s="35"/>
      <c r="B110" s="11" t="str">
        <f>CONCATENATE("     ","Travel                                            ")</f>
        <v xml:space="preserve">     Travel                                            </v>
      </c>
      <c r="C110" s="11"/>
      <c r="D110" s="1">
        <f>SUM(OSRRefD21_18x_0)</f>
        <v>215.16</v>
      </c>
      <c r="E110" s="1">
        <f>SUM(OSRRefD21_18x_1)</f>
        <v>25.76</v>
      </c>
      <c r="F110" s="1">
        <f>SUM(OSRRefD21_18x_2)</f>
        <v>0</v>
      </c>
      <c r="G110" s="1">
        <f>SUM(OSRRefD21_18x_3)</f>
        <v>80.959999999999994</v>
      </c>
      <c r="H110" s="1">
        <f>SUM(OSRRefD21_18x_4)</f>
        <v>0</v>
      </c>
      <c r="I110" s="1">
        <f>SUM(OSRRefD21_18x_5)</f>
        <v>0</v>
      </c>
      <c r="J110" s="1">
        <f>SUM(OSRRefD21_18x_6)</f>
        <v>59.46</v>
      </c>
      <c r="K110" s="1">
        <f>SUM(OSRRefD21_18x_7)</f>
        <v>0</v>
      </c>
      <c r="L110" s="1">
        <f>SUM(OSRRefD21_18x_8)</f>
        <v>93.02</v>
      </c>
      <c r="M110" s="1">
        <f>SUM(OSRRefD21_18x_9)</f>
        <v>25.17</v>
      </c>
      <c r="N110" s="1">
        <f>SUM(OSRRefE21_18x_0)</f>
        <v>25</v>
      </c>
      <c r="O110" s="1">
        <f>SUM(OSRRefE21_18x_1)</f>
        <v>25</v>
      </c>
      <c r="Q110" s="2">
        <f>SUM(OSRRefD20_18x)+IFERROR(SUM(OSRRefE20_18x),0)</f>
        <v>549.53</v>
      </c>
    </row>
    <row r="111" spans="1:17" s="34" customFormat="1" hidden="1" outlineLevel="1" x14ac:dyDescent="0.25">
      <c r="A111" s="35"/>
      <c r="B111" s="10" t="str">
        <f>CONCATENATE("          ","6294", " - ","TRAVEL OPERATIONAL")</f>
        <v xml:space="preserve">          6294 - TRAVEL OPERATIONAL</v>
      </c>
      <c r="C111" s="11"/>
      <c r="D111" s="2">
        <v>215.16</v>
      </c>
      <c r="E111" s="2">
        <v>25.76</v>
      </c>
      <c r="F111" s="2"/>
      <c r="G111" s="2">
        <v>80.959999999999994</v>
      </c>
      <c r="H111" s="2"/>
      <c r="I111" s="2"/>
      <c r="J111" s="2">
        <v>59.46</v>
      </c>
      <c r="K111" s="2"/>
      <c r="L111" s="2">
        <v>93.02</v>
      </c>
      <c r="M111" s="2">
        <v>25.17</v>
      </c>
      <c r="N111" s="2"/>
      <c r="O111" s="2"/>
      <c r="P111" s="9"/>
      <c r="Q111" s="2">
        <f>SUM(OSRRefD21_18_0x)+IFERROR(SUM(OSRRefE21_18_0x),0)</f>
        <v>499.53</v>
      </c>
    </row>
    <row r="112" spans="1:17" s="34" customFormat="1" hidden="1" outlineLevel="1" x14ac:dyDescent="0.25">
      <c r="A112" s="35"/>
      <c r="B112" s="10" t="str">
        <f>CONCATENATE("          ","6298", " - ","VEHICLE MILEAGE")</f>
        <v xml:space="preserve">          6298 - VEHICLE MILEAGE</v>
      </c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>
        <v>25</v>
      </c>
      <c r="O112" s="2">
        <v>25</v>
      </c>
      <c r="P112" s="9"/>
      <c r="Q112" s="2">
        <f>SUM(OSRRefD21_18_1x)+IFERROR(SUM(OSRRefE21_18_1x),0)</f>
        <v>50</v>
      </c>
    </row>
    <row r="113" spans="1:17" s="34" customFormat="1" collapsed="1" x14ac:dyDescent="0.25">
      <c r="A113" s="35"/>
      <c r="B113" s="11" t="str">
        <f>CONCATENATE("     ","Utilities                                         ")</f>
        <v xml:space="preserve">     Utilities                                         </v>
      </c>
      <c r="C113" s="11"/>
      <c r="D113" s="1">
        <f>SUM(OSRRefD21_19x_0)</f>
        <v>28.46</v>
      </c>
      <c r="E113" s="1">
        <f>SUM(OSRRefD21_19x_1)</f>
        <v>11.89</v>
      </c>
      <c r="F113" s="1">
        <f>SUM(OSRRefD21_19x_2)</f>
        <v>28.01</v>
      </c>
      <c r="G113" s="1">
        <f>SUM(OSRRefD21_19x_3)</f>
        <v>16.05</v>
      </c>
      <c r="H113" s="1">
        <f>SUM(OSRRefD21_19x_4)</f>
        <v>17.38</v>
      </c>
      <c r="I113" s="1">
        <f>SUM(OSRRefD21_19x_5)</f>
        <v>42.61</v>
      </c>
      <c r="J113" s="1">
        <f>SUM(OSRRefD21_19x_6)</f>
        <v>32.61</v>
      </c>
      <c r="K113" s="1">
        <f>SUM(OSRRefD21_19x_7)</f>
        <v>28.14</v>
      </c>
      <c r="L113" s="1">
        <f>SUM(OSRRefD21_19x_8)</f>
        <v>30.45</v>
      </c>
      <c r="M113" s="1">
        <f>SUM(OSRRefD21_19x_9)</f>
        <v>28.93</v>
      </c>
      <c r="N113" s="1">
        <f>SUM(OSRRefE21_19x_0)</f>
        <v>105</v>
      </c>
      <c r="O113" s="1">
        <f>SUM(OSRRefE21_19x_1)</f>
        <v>105</v>
      </c>
      <c r="Q113" s="2">
        <f>SUM(OSRRefD20_19x)+IFERROR(SUM(OSRRefE20_19x),0)</f>
        <v>474.53</v>
      </c>
    </row>
    <row r="114" spans="1:17" s="34" customFormat="1" hidden="1" outlineLevel="1" x14ac:dyDescent="0.25">
      <c r="A114" s="35"/>
      <c r="B114" s="10" t="str">
        <f>CONCATENATE("          ","6274", " - ","UTILITIES")</f>
        <v xml:space="preserve">          6274 - UTILITIES</v>
      </c>
      <c r="C114" s="11"/>
      <c r="D114" s="2">
        <v>28.46</v>
      </c>
      <c r="E114" s="2">
        <v>11.89</v>
      </c>
      <c r="F114" s="2">
        <v>28.01</v>
      </c>
      <c r="G114" s="2">
        <v>16.05</v>
      </c>
      <c r="H114" s="2">
        <v>17.38</v>
      </c>
      <c r="I114" s="2">
        <v>42.61</v>
      </c>
      <c r="J114" s="2">
        <v>32.61</v>
      </c>
      <c r="K114" s="2">
        <v>28.14</v>
      </c>
      <c r="L114" s="2">
        <v>30.45</v>
      </c>
      <c r="M114" s="2">
        <v>28.93</v>
      </c>
      <c r="N114" s="2">
        <v>105</v>
      </c>
      <c r="O114" s="2">
        <v>105</v>
      </c>
      <c r="P114" s="9"/>
      <c r="Q114" s="2">
        <f>SUM(OSRRefD21_19_0x)+IFERROR(SUM(OSRRefE21_19_0x),0)</f>
        <v>474.53</v>
      </c>
    </row>
    <row r="115" spans="1:17" s="30" customFormat="1" x14ac:dyDescent="0.25">
      <c r="A115" s="21"/>
      <c r="B115" s="21"/>
      <c r="C115" s="2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Q115" s="1"/>
    </row>
    <row r="116" spans="1:17" s="9" customFormat="1" x14ac:dyDescent="0.25">
      <c r="A116" s="23"/>
      <c r="B116" s="16" t="s">
        <v>291</v>
      </c>
      <c r="C116" s="22"/>
      <c r="D116" s="3">
        <f t="shared" ref="D116:M116" si="22">0</f>
        <v>0</v>
      </c>
      <c r="E116" s="3">
        <f t="shared" si="22"/>
        <v>0</v>
      </c>
      <c r="F116" s="3">
        <f t="shared" si="22"/>
        <v>0</v>
      </c>
      <c r="G116" s="3">
        <f t="shared" si="22"/>
        <v>0</v>
      </c>
      <c r="H116" s="3">
        <f t="shared" si="22"/>
        <v>0</v>
      </c>
      <c r="I116" s="3">
        <f t="shared" si="22"/>
        <v>0</v>
      </c>
      <c r="J116" s="3">
        <f t="shared" si="22"/>
        <v>0</v>
      </c>
      <c r="K116" s="3">
        <f t="shared" si="22"/>
        <v>0</v>
      </c>
      <c r="L116" s="3">
        <f t="shared" si="22"/>
        <v>0</v>
      </c>
      <c r="M116" s="3">
        <f t="shared" si="22"/>
        <v>0</v>
      </c>
      <c r="N116" s="3"/>
      <c r="O116" s="3"/>
      <c r="Q116" s="2">
        <f>SUM(OSRRefD23_0x)+IFERROR(SUM(OSRRefE23_0x),0)</f>
        <v>0</v>
      </c>
    </row>
    <row r="117" spans="1:17" x14ac:dyDescent="0.2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25">
      <c r="A118" s="6"/>
      <c r="B118" s="17" t="s">
        <v>274</v>
      </c>
      <c r="C118" s="17"/>
      <c r="D118" s="8">
        <f t="shared" ref="D118:O118" si="23">IFERROR(+D42-D45+D116, 0)</f>
        <v>-6561.630000000001</v>
      </c>
      <c r="E118" s="8">
        <f t="shared" si="23"/>
        <v>-3837.5499999999956</v>
      </c>
      <c r="F118" s="8">
        <f t="shared" si="23"/>
        <v>-11060.990000000002</v>
      </c>
      <c r="G118" s="8">
        <f t="shared" si="23"/>
        <v>-11315.929999999997</v>
      </c>
      <c r="H118" s="8">
        <f t="shared" si="23"/>
        <v>-11248.57</v>
      </c>
      <c r="I118" s="8">
        <f t="shared" si="23"/>
        <v>-4619.6600000000144</v>
      </c>
      <c r="J118" s="8">
        <f t="shared" si="23"/>
        <v>-13291.360000000004</v>
      </c>
      <c r="K118" s="8">
        <f t="shared" si="23"/>
        <v>-7940.3200000000033</v>
      </c>
      <c r="L118" s="8">
        <f t="shared" si="23"/>
        <v>-7720.9100000000144</v>
      </c>
      <c r="M118" s="8">
        <f t="shared" si="23"/>
        <v>1221.2399999999943</v>
      </c>
      <c r="N118" s="8">
        <f t="shared" si="23"/>
        <v>3313.0916035538467</v>
      </c>
      <c r="O118" s="8">
        <f t="shared" si="23"/>
        <v>3998.6579451538491</v>
      </c>
      <c r="Q118" s="8">
        <f>IFERROR(+Q42-Q45+Q116, 0)</f>
        <v>-69063.930451292254</v>
      </c>
    </row>
    <row r="119" spans="1:17" s="6" customFormat="1" x14ac:dyDescent="0.25">
      <c r="B119" s="16"/>
      <c r="C119" s="16"/>
      <c r="D119" s="4">
        <f t="shared" ref="D119:O119" si="24">IFERROR(D118/D10, 0)</f>
        <v>-0.24411034767038559</v>
      </c>
      <c r="E119" s="4">
        <f t="shared" si="24"/>
        <v>-0.168333383046779</v>
      </c>
      <c r="F119" s="4">
        <f t="shared" si="24"/>
        <v>-0.55396936613246306</v>
      </c>
      <c r="G119" s="4">
        <f t="shared" si="24"/>
        <v>-0.60261700140270646</v>
      </c>
      <c r="H119" s="4">
        <f t="shared" si="24"/>
        <v>-0.63936814439165901</v>
      </c>
      <c r="I119" s="4">
        <f t="shared" si="24"/>
        <v>-0.11875131259419551</v>
      </c>
      <c r="J119" s="4">
        <f t="shared" si="24"/>
        <v>-0.70875497450822855</v>
      </c>
      <c r="K119" s="4">
        <f t="shared" si="24"/>
        <v>-0.38604799054074707</v>
      </c>
      <c r="L119" s="4">
        <f t="shared" si="24"/>
        <v>-0.3210691340056146</v>
      </c>
      <c r="M119" s="4">
        <f t="shared" si="24"/>
        <v>2.8388445918318118E-2</v>
      </c>
      <c r="N119" s="4">
        <f t="shared" si="24"/>
        <v>9.3266098121044014E-2</v>
      </c>
      <c r="O119" s="4">
        <f t="shared" si="24"/>
        <v>0.10843818156349422</v>
      </c>
      <c r="P119" s="18"/>
      <c r="Q119" s="4">
        <f>IFERROR(Q118/Q10, 0)</f>
        <v>-0.21335596742015581</v>
      </c>
    </row>
    <row r="120" spans="1:17" x14ac:dyDescent="0.25">
      <c r="A120" s="5"/>
      <c r="B120" s="6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25">
      <c r="A121" s="25"/>
      <c r="B121" s="6" t="s">
        <v>125</v>
      </c>
      <c r="C121" s="6"/>
      <c r="D121" s="3">
        <v>13096.23</v>
      </c>
      <c r="E121" s="3">
        <v>-4708.91</v>
      </c>
      <c r="F121" s="3">
        <v>4514.5600000000004</v>
      </c>
      <c r="G121" s="3">
        <v>6252.2</v>
      </c>
      <c r="H121" s="3">
        <v>-2308.27</v>
      </c>
      <c r="I121" s="3">
        <v>9966.92</v>
      </c>
      <c r="J121" s="3">
        <v>2897.74</v>
      </c>
      <c r="K121" s="3">
        <v>6775.33</v>
      </c>
      <c r="L121" s="3">
        <v>6440.16</v>
      </c>
      <c r="M121" s="3">
        <v>9648.0300000000007</v>
      </c>
      <c r="N121" s="3">
        <v>16400</v>
      </c>
      <c r="O121" s="3">
        <v>16832</v>
      </c>
      <c r="Q121" s="2">
        <f>SUM(OSRRefD28_0x)+IFERROR(SUM(OSRRefE28_0x),0)</f>
        <v>85805.99</v>
      </c>
    </row>
    <row r="122" spans="1:17" x14ac:dyDescent="0.25">
      <c r="A122" s="5"/>
      <c r="B122" s="6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124</v>
      </c>
      <c r="C123" s="17"/>
      <c r="D123" s="7">
        <f t="shared" ref="D123:O123" si="25">IFERROR(+D118-D121, 0)</f>
        <v>-19657.86</v>
      </c>
      <c r="E123" s="7">
        <f t="shared" si="25"/>
        <v>871.36000000000422</v>
      </c>
      <c r="F123" s="7">
        <f t="shared" si="25"/>
        <v>-15575.550000000003</v>
      </c>
      <c r="G123" s="7">
        <f t="shared" si="25"/>
        <v>-17568.129999999997</v>
      </c>
      <c r="H123" s="7">
        <f t="shared" si="25"/>
        <v>-8940.2999999999993</v>
      </c>
      <c r="I123" s="7">
        <f t="shared" si="25"/>
        <v>-14586.580000000014</v>
      </c>
      <c r="J123" s="7">
        <f t="shared" si="25"/>
        <v>-16189.100000000004</v>
      </c>
      <c r="K123" s="7">
        <f t="shared" si="25"/>
        <v>-14715.650000000003</v>
      </c>
      <c r="L123" s="7">
        <f t="shared" si="25"/>
        <v>-14161.070000000014</v>
      </c>
      <c r="M123" s="7">
        <f t="shared" si="25"/>
        <v>-8426.7900000000063</v>
      </c>
      <c r="N123" s="7">
        <f t="shared" si="25"/>
        <v>-13086.908396446153</v>
      </c>
      <c r="O123" s="7">
        <f t="shared" si="25"/>
        <v>-12833.342054846151</v>
      </c>
      <c r="Q123" s="7">
        <f>IFERROR(+Q118-Q121, 0)</f>
        <v>-154869.92045129224</v>
      </c>
    </row>
    <row r="124" spans="1:17" ht="15.75" thickTop="1" x14ac:dyDescent="0.25">
      <c r="A124" s="5"/>
      <c r="B124" s="5"/>
      <c r="C124" s="5"/>
      <c r="D124" s="4">
        <f t="shared" ref="D124:O124" si="26">IFERROR(D123/D10, 0)</f>
        <v>-0.73132545404964389</v>
      </c>
      <c r="E124" s="4">
        <f t="shared" si="26"/>
        <v>3.8222036625357905E-2</v>
      </c>
      <c r="F124" s="4">
        <f t="shared" si="26"/>
        <v>-0.78007281090250391</v>
      </c>
      <c r="G124" s="4">
        <f t="shared" si="26"/>
        <v>-0.9355708121959867</v>
      </c>
      <c r="H124" s="4">
        <f t="shared" si="26"/>
        <v>-0.50816619546348984</v>
      </c>
      <c r="I124" s="4">
        <f t="shared" si="26"/>
        <v>-0.37495736077119024</v>
      </c>
      <c r="J124" s="4">
        <f t="shared" si="26"/>
        <v>-0.86327547804070937</v>
      </c>
      <c r="K124" s="4">
        <f t="shared" si="26"/>
        <v>-0.71545568843584939</v>
      </c>
      <c r="L124" s="4">
        <f t="shared" si="26"/>
        <v>-0.58887909346085954</v>
      </c>
      <c r="M124" s="4">
        <f t="shared" si="26"/>
        <v>-0.19588571630476009</v>
      </c>
      <c r="N124" s="4">
        <f t="shared" si="26"/>
        <v>-0.3684066209623667</v>
      </c>
      <c r="O124" s="4">
        <f t="shared" si="26"/>
        <v>-0.34802283538565831</v>
      </c>
      <c r="P124" s="18"/>
      <c r="Q124" s="4">
        <f>IFERROR(Q123/Q10, 0)</f>
        <v>-0.47843239569852453</v>
      </c>
    </row>
    <row r="125" spans="1:17" x14ac:dyDescent="0.2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x14ac:dyDescent="0.25">
      <c r="A126" s="5"/>
      <c r="B126" s="5"/>
      <c r="C126" s="5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Q126" s="3"/>
    </row>
    <row r="127" spans="1:17" s="15" customFormat="1" ht="15.75" thickBot="1" x14ac:dyDescent="0.3">
      <c r="A127" s="6"/>
      <c r="B127" s="17" t="s">
        <v>292</v>
      </c>
      <c r="C127" s="17"/>
      <c r="D127" s="7">
        <f t="shared" ref="D127:O127" si="27">IFERROR(SUM(D123:D126), 0)</f>
        <v>-19658.59132545405</v>
      </c>
      <c r="E127" s="7">
        <f t="shared" si="27"/>
        <v>871.39822203662959</v>
      </c>
      <c r="F127" s="7">
        <f t="shared" si="27"/>
        <v>-15576.330072810906</v>
      </c>
      <c r="G127" s="7">
        <f t="shared" si="27"/>
        <v>-17569.065570812192</v>
      </c>
      <c r="H127" s="7">
        <f t="shared" si="27"/>
        <v>-8940.808166195462</v>
      </c>
      <c r="I127" s="7">
        <f t="shared" si="27"/>
        <v>-14586.954957360786</v>
      </c>
      <c r="J127" s="7">
        <f t="shared" si="27"/>
        <v>-16189.963275478045</v>
      </c>
      <c r="K127" s="7">
        <f t="shared" si="27"/>
        <v>-14716.365455688439</v>
      </c>
      <c r="L127" s="7">
        <f t="shared" si="27"/>
        <v>-14161.658879093475</v>
      </c>
      <c r="M127" s="7">
        <f t="shared" si="27"/>
        <v>-8426.9858857163108</v>
      </c>
      <c r="N127" s="7">
        <f t="shared" si="27"/>
        <v>-13087.276803067116</v>
      </c>
      <c r="O127" s="7">
        <f t="shared" si="27"/>
        <v>-12833.690077681536</v>
      </c>
      <c r="Q127" s="7">
        <f>IFERROR(SUM(Q123:Q126), 0)</f>
        <v>-154870.39888368794</v>
      </c>
    </row>
    <row r="128" spans="1:17" ht="15.75" thickTop="1" x14ac:dyDescent="0.25">
      <c r="A128" s="5"/>
      <c r="C128" s="5"/>
      <c r="D128" s="4">
        <f t="shared" ref="D128:O128" si="28">IFERROR(D127/D10, 0)</f>
        <v>-0.73135266133058607</v>
      </c>
      <c r="E128" s="4">
        <f t="shared" si="28"/>
        <v>3.8223713227547342E-2</v>
      </c>
      <c r="F128" s="4">
        <f t="shared" si="28"/>
        <v>-0.78011187941631621</v>
      </c>
      <c r="G128" s="4">
        <f t="shared" si="28"/>
        <v>-0.93562063495712477</v>
      </c>
      <c r="H128" s="4">
        <f t="shared" si="28"/>
        <v>-0.50819507960409049</v>
      </c>
      <c r="I128" s="4">
        <f t="shared" si="28"/>
        <v>-0.37496699928977351</v>
      </c>
      <c r="J128" s="4">
        <f t="shared" si="28"/>
        <v>-0.8633215117640779</v>
      </c>
      <c r="K128" s="4">
        <f t="shared" si="28"/>
        <v>-0.71549047295723411</v>
      </c>
      <c r="L128" s="4">
        <f t="shared" si="28"/>
        <v>-0.58890358162359824</v>
      </c>
      <c r="M128" s="4">
        <f t="shared" si="28"/>
        <v>-0.19589026978406268</v>
      </c>
      <c r="N128" s="4">
        <f t="shared" si="28"/>
        <v>-0.36841699189446603</v>
      </c>
      <c r="O128" s="4">
        <f t="shared" si="28"/>
        <v>-0.34803227329305864</v>
      </c>
      <c r="P128" s="18"/>
      <c r="Q128" s="4">
        <f>IFERROR(Q127/Q10, 0)</f>
        <v>-0.47843387369732882</v>
      </c>
    </row>
    <row r="129" spans="1:17" x14ac:dyDescent="0.25">
      <c r="A129" s="5"/>
      <c r="B129" s="27">
        <v>44330.012769791669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Q129" s="13"/>
    </row>
    <row r="130" spans="1:17" x14ac:dyDescent="0.25">
      <c r="A130" s="5"/>
      <c r="B130" s="31" t="s">
        <v>54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Q130" s="13"/>
    </row>
    <row r="131" spans="1:17" x14ac:dyDescent="0.25">
      <c r="A131" s="5"/>
      <c r="B131" s="26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Q131" s="13"/>
    </row>
    <row r="132" spans="1:17" x14ac:dyDescent="0.25"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Q13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123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SUM(OSRRefE11x_0)</f>
        <v>3200</v>
      </c>
      <c r="O10" s="3">
        <f>SUM(OSRRefE11x_1)</f>
        <v>1700</v>
      </c>
      <c r="P10" s="24"/>
      <c r="Q10" s="3">
        <f>SUM(OSRRefG11x)</f>
        <v>119597.48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v>3000</v>
      </c>
      <c r="O11" s="2">
        <v>1500</v>
      </c>
      <c r="Q11" s="2">
        <f>SUM(OSRRefD11_0x)+IFERROR(SUM(OSRRefE11_0x),0)</f>
        <v>4490.72</v>
      </c>
    </row>
    <row r="12" spans="1:18" s="9" customFormat="1" hidden="1" outlineLevel="1" x14ac:dyDescent="0.25">
      <c r="A12" s="23"/>
      <c r="B12" s="10" t="str">
        <f>CONCATENATE("          ","4041", " - ","TAXABLE SALES-LOGO GIFTS")</f>
        <v xml:space="preserve">          4041 - TAXABLE SALES-LOGO GIFTS</v>
      </c>
      <c r="C12" s="22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/>
      <c r="O12" s="2"/>
      <c r="Q12" s="2">
        <f>SUM(OSRRefD11_1x)+IFERROR(SUM(OSRRefE11_1x),0)</f>
        <v>92920.17</v>
      </c>
    </row>
    <row r="13" spans="1:18" s="9" customFormat="1" hidden="1" outlineLevel="1" x14ac:dyDescent="0.25">
      <c r="A13" s="23"/>
      <c r="B13" s="10" t="str">
        <f>CONCATENATE("          ","4042", " - ","TAXABLE SALES-EVERYDAY GIFTS")</f>
        <v xml:space="preserve">          4042 - TAXABLE SALES-EVERYDAY GIFTS</v>
      </c>
      <c r="C13" s="22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/>
      <c r="O13" s="2"/>
      <c r="Q13" s="2">
        <f>SUM(OSRRefD11_2x)+IFERROR(SUM(OSRRefE11_2x),0)</f>
        <v>17099.84</v>
      </c>
    </row>
    <row r="14" spans="1:18" s="9" customFormat="1" hidden="1" outlineLevel="1" x14ac:dyDescent="0.25">
      <c r="A14" s="23"/>
      <c r="B14" s="10" t="str">
        <f>CONCATENATE("          ","4043", " - ","TAXABLE SALES-CARDS")</f>
        <v xml:space="preserve">          4043 - TAXABLE SALES-CARDS</v>
      </c>
      <c r="C14" s="22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/>
      <c r="O14" s="2"/>
      <c r="Q14" s="2">
        <f>SUM(OSRRefD11_3x)+IFERROR(SUM(OSRRefE11_3x),0)</f>
        <v>52.68</v>
      </c>
    </row>
    <row r="15" spans="1:18" s="9" customFormat="1" hidden="1" outlineLevel="1" x14ac:dyDescent="0.25">
      <c r="A15" s="23"/>
      <c r="B15" s="10" t="str">
        <f>CONCATENATE("          ","4095", " - ","TAXABLE SALES-CUSTOMER SERVICE")</f>
        <v xml:space="preserve">          4095 - TAXABLE SALES-CUSTOMER SERVICE</v>
      </c>
      <c r="C15" s="22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/>
      <c r="O15" s="2"/>
      <c r="Q15" s="2">
        <f>SUM(OSRRefD11_4x)+IFERROR(SUM(OSRRefE11_4x),0)</f>
        <v>3034.59</v>
      </c>
    </row>
    <row r="16" spans="1:18" s="9" customFormat="1" hidden="1" outlineLevel="1" x14ac:dyDescent="0.25">
      <c r="A16" s="23"/>
      <c r="B16" s="10" t="str">
        <f>CONCATENATE("          ","4100", " - ","NON-TAXABLE SALES")</f>
        <v xml:space="preserve">          4100 - NON-TAXABLE SALES</v>
      </c>
      <c r="C16" s="22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M16" si="6">0</f>
        <v>0</v>
      </c>
      <c r="L16" s="2">
        <f t="shared" si="6"/>
        <v>0</v>
      </c>
      <c r="M16" s="2">
        <f t="shared" si="6"/>
        <v>0</v>
      </c>
      <c r="N16" s="2">
        <v>200</v>
      </c>
      <c r="O16" s="2">
        <v>200</v>
      </c>
      <c r="Q16" s="2">
        <f>SUM(OSRRefD11_5x)+IFERROR(SUM(OSRRefE11_5x),0)</f>
        <v>400</v>
      </c>
    </row>
    <row r="17" spans="1:17" s="9" customFormat="1" hidden="1" outlineLevel="1" x14ac:dyDescent="0.25">
      <c r="A17" s="23"/>
      <c r="B17" s="10" t="str">
        <f>CONCATENATE("          ","4141", " - ","NON-TAXABLE SALES-LOGO GIFTS")</f>
        <v xml:space="preserve">          4141 - NON-TAXABLE SALES-LOGO GIFTS</v>
      </c>
      <c r="C17" s="22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>
        <f>--0.6</f>
        <v>0.6</v>
      </c>
      <c r="N17" s="2"/>
      <c r="O17" s="2"/>
      <c r="Q17" s="2">
        <f>SUM(OSRRefD11_6x)+IFERROR(SUM(OSRRefE11_6x),0)</f>
        <v>1279.24</v>
      </c>
    </row>
    <row r="18" spans="1:17" s="9" customFormat="1" hidden="1" outlineLevel="1" x14ac:dyDescent="0.25">
      <c r="A18" s="23"/>
      <c r="B18" s="10" t="str">
        <f>CONCATENATE("          ","4142", " - ","NON-TAXABLE SALES-EVERYDAY GIF")</f>
        <v xml:space="preserve">          4142 - NON-TAXABLE SALES-EVERYDAY GIF</v>
      </c>
      <c r="C18" s="22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>
        <f>--22.1</f>
        <v>22.1</v>
      </c>
      <c r="N18" s="2"/>
      <c r="O18" s="2"/>
      <c r="Q18" s="2">
        <f>SUM(OSRRefD11_7x)+IFERROR(SUM(OSRRefE11_7x),0)</f>
        <v>1132.6899999999998</v>
      </c>
    </row>
    <row r="19" spans="1:17" s="9" customFormat="1" hidden="1" outlineLevel="1" x14ac:dyDescent="0.25">
      <c r="A19" s="23"/>
      <c r="B19" s="10" t="str">
        <f>CONCATENATE("          ","4146", " - ","NON-TAXABLE SALES-COIN OP MACH")</f>
        <v xml:space="preserve">          4146 - NON-TAXABLE SALES-COIN OP MACH</v>
      </c>
      <c r="C19" s="22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>
        <f>--30.2</f>
        <v>30.2</v>
      </c>
      <c r="N19" s="2"/>
      <c r="O19" s="2"/>
      <c r="Q19" s="2">
        <f>SUM(OSRRefD11_8x)+IFERROR(SUM(OSRRefE11_8x),0)</f>
        <v>329.29999999999995</v>
      </c>
    </row>
    <row r="20" spans="1:17" s="9" customFormat="1" hidden="1" outlineLevel="1" x14ac:dyDescent="0.25">
      <c r="A20" s="23"/>
      <c r="B20" s="10" t="str">
        <f>CONCATENATE("          ","4147", " - ","NON-TAXABLE SALES-MISC")</f>
        <v xml:space="preserve">          4147 - NON-TAXABLE SALES-MISC</v>
      </c>
      <c r="C20" s="22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 t="shared" ref="L20:M20" si="11">--11</f>
        <v>11</v>
      </c>
      <c r="M20" s="2">
        <f t="shared" si="11"/>
        <v>11</v>
      </c>
      <c r="N20" s="2"/>
      <c r="O20" s="2"/>
      <c r="Q20" s="2">
        <f>SUM(OSRRefD11_9x)+IFERROR(SUM(OSRRefE11_9x),0)</f>
        <v>154.5</v>
      </c>
    </row>
    <row r="21" spans="1:17" s="9" customFormat="1" hidden="1" outlineLevel="1" x14ac:dyDescent="0.25">
      <c r="A21" s="23"/>
      <c r="B21" s="10" t="str">
        <f>CONCATENATE("          ","4241", " - ","SALES RETURN TAXABLE-LOGO GIFT")</f>
        <v xml:space="preserve">          4241 - SALES RETURN TAXABLE-LOGO GIFT</v>
      </c>
      <c r="C21" s="22"/>
      <c r="D21" s="2">
        <f t="shared" ref="D21:D22" si="12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3">0</f>
        <v>0</v>
      </c>
      <c r="L21" s="2">
        <f>-7.95</f>
        <v>-7.95</v>
      </c>
      <c r="M21" s="2">
        <f>-23</f>
        <v>-23</v>
      </c>
      <c r="N21" s="2"/>
      <c r="O21" s="2"/>
      <c r="Q21" s="2">
        <f>SUM(OSRRefD11_10x)+IFERROR(SUM(OSRRefE11_10x),0)</f>
        <v>-1285.05</v>
      </c>
    </row>
    <row r="22" spans="1:17" s="9" customFormat="1" hidden="1" outlineLevel="1" x14ac:dyDescent="0.25">
      <c r="A22" s="23"/>
      <c r="B22" s="10" t="str">
        <f>CONCATENATE("          ","4341", " - ","SALES RETURN NON TAXABLE-LOGO")</f>
        <v xml:space="preserve">          4341 - SALES RETURN NON TAXABLE-LOGO</v>
      </c>
      <c r="C22" s="22"/>
      <c r="D22" s="2">
        <f t="shared" si="12"/>
        <v>0</v>
      </c>
      <c r="E22" s="2">
        <f t="shared" ref="E22:I22" si="14">0</f>
        <v>0</v>
      </c>
      <c r="F22" s="2">
        <f t="shared" si="14"/>
        <v>0</v>
      </c>
      <c r="G22" s="2">
        <f t="shared" si="14"/>
        <v>0</v>
      </c>
      <c r="H22" s="2">
        <f t="shared" si="14"/>
        <v>0</v>
      </c>
      <c r="I22" s="2">
        <f t="shared" si="14"/>
        <v>0</v>
      </c>
      <c r="J22" s="2">
        <f>-11.2</f>
        <v>-11.2</v>
      </c>
      <c r="K22" s="2">
        <f t="shared" si="13"/>
        <v>0</v>
      </c>
      <c r="L22" s="2">
        <f t="shared" ref="L22:M22" si="15">0</f>
        <v>0</v>
      </c>
      <c r="M22" s="2">
        <f t="shared" si="15"/>
        <v>0</v>
      </c>
      <c r="N22" s="2"/>
      <c r="O22" s="2"/>
      <c r="Q22" s="2">
        <f>SUM(OSRRefD11_11x)+IFERROR(SUM(OSRRefE11_11x),0)</f>
        <v>-11.2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collapsed="1" x14ac:dyDescent="0.25">
      <c r="A24" s="23"/>
      <c r="B24" s="16" t="s">
        <v>217</v>
      </c>
      <c r="C24" s="22"/>
      <c r="D24" s="3">
        <f>SUM(OSRRefD14x_0)</f>
        <v>0</v>
      </c>
      <c r="E24" s="3">
        <f>SUM(OSRRefD14x_1)</f>
        <v>0</v>
      </c>
      <c r="F24" s="3">
        <f>SUM(OSRRefD14x_2)</f>
        <v>0</v>
      </c>
      <c r="G24" s="3">
        <f>SUM(OSRRefD14x_3)</f>
        <v>0</v>
      </c>
      <c r="H24" s="3">
        <f>SUM(OSRRefD14x_4)</f>
        <v>0</v>
      </c>
      <c r="I24" s="3">
        <f>SUM(OSRRefD14x_5)</f>
        <v>0</v>
      </c>
      <c r="J24" s="3">
        <f>SUM(OSRRefD14x_6)</f>
        <v>0</v>
      </c>
      <c r="K24" s="3">
        <f>SUM(OSRRefD14x_7)</f>
        <v>0</v>
      </c>
      <c r="L24" s="3">
        <f>SUM(OSRRefD14x_8)</f>
        <v>0</v>
      </c>
      <c r="M24" s="3">
        <f>SUM(OSRRefD14x_9)</f>
        <v>0</v>
      </c>
      <c r="N24" s="3">
        <f>SUM(OSRRefE14x_0)</f>
        <v>0</v>
      </c>
      <c r="O24" s="3">
        <f>SUM(OSRRefE14x_1)</f>
        <v>0</v>
      </c>
      <c r="Q24" s="3">
        <f>SUM(OSRRefG14x)</f>
        <v>0</v>
      </c>
    </row>
    <row r="25" spans="1:17" s="9" customFormat="1" hidden="1" outlineLevel="1" x14ac:dyDescent="0.25">
      <c r="A25" s="23"/>
      <c r="B25" s="10" t="str">
        <f>CONCATENATE("          ","5092", " - ","PURCHASES @ COST-GRAD MERCH")</f>
        <v xml:space="preserve">          5092 - PURCHASES @ COST-GRAD MERCH</v>
      </c>
      <c r="C25" s="22"/>
      <c r="D25" s="2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SUM(OSRRefD14_0x)+IFERROR(SUM(OSRRefE14_0x),0)</f>
        <v>0</v>
      </c>
    </row>
    <row r="26" spans="1:17" s="9" customFormat="1" hidden="1" outlineLevel="1" x14ac:dyDescent="0.25">
      <c r="A26" s="23"/>
      <c r="B26" s="10" t="str">
        <f>CONCATENATE("          ","5592", " - ","FREIGHT-IN-GRAD MERCH")</f>
        <v xml:space="preserve">          5592 - FREIGHT-IN-GRAD MERCH</v>
      </c>
      <c r="C26" s="22"/>
      <c r="D26" s="2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SUM(OSRRefD14_1x)+IFERROR(SUM(OSRRefE14_1x),0)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8">
        <f t="shared" ref="D28:O28" si="16">IFERROR(+D10-D24, 0)</f>
        <v>4847.87</v>
      </c>
      <c r="E28" s="8">
        <f t="shared" si="16"/>
        <v>47524.27</v>
      </c>
      <c r="F28" s="8">
        <f t="shared" si="16"/>
        <v>9104.9600000000009</v>
      </c>
      <c r="G28" s="8">
        <f t="shared" si="16"/>
        <v>10497.909999999998</v>
      </c>
      <c r="H28" s="8">
        <f t="shared" si="16"/>
        <v>1597.9</v>
      </c>
      <c r="I28" s="8">
        <f t="shared" si="16"/>
        <v>1256.8100000000002</v>
      </c>
      <c r="J28" s="8">
        <f t="shared" si="16"/>
        <v>29576.499999999996</v>
      </c>
      <c r="K28" s="8">
        <f t="shared" si="16"/>
        <v>4441.8100000000013</v>
      </c>
      <c r="L28" s="8">
        <f t="shared" si="16"/>
        <v>2147</v>
      </c>
      <c r="M28" s="8">
        <f t="shared" si="16"/>
        <v>3702.45</v>
      </c>
      <c r="N28" s="8">
        <f t="shared" si="16"/>
        <v>3200</v>
      </c>
      <c r="O28" s="8">
        <f t="shared" si="16"/>
        <v>1700</v>
      </c>
      <c r="Q28" s="8">
        <f>IFERROR(+Q10-Q24, 0)</f>
        <v>119597.48</v>
      </c>
    </row>
    <row r="29" spans="1:17" s="6" customFormat="1" x14ac:dyDescent="0.25">
      <c r="B29" s="16"/>
      <c r="C29" s="16"/>
      <c r="D29" s="4">
        <f t="shared" ref="D29:O29" si="17">IFERROR(D28/D10, 0)</f>
        <v>1</v>
      </c>
      <c r="E29" s="4">
        <f t="shared" si="17"/>
        <v>1</v>
      </c>
      <c r="F29" s="4">
        <f t="shared" si="17"/>
        <v>1</v>
      </c>
      <c r="G29" s="4">
        <f t="shared" si="17"/>
        <v>1</v>
      </c>
      <c r="H29" s="4">
        <f t="shared" si="17"/>
        <v>1</v>
      </c>
      <c r="I29" s="4">
        <f t="shared" si="17"/>
        <v>1</v>
      </c>
      <c r="J29" s="4">
        <f t="shared" si="17"/>
        <v>1</v>
      </c>
      <c r="K29" s="4">
        <f t="shared" si="17"/>
        <v>1</v>
      </c>
      <c r="L29" s="4">
        <f t="shared" si="17"/>
        <v>1</v>
      </c>
      <c r="M29" s="4">
        <f t="shared" si="17"/>
        <v>1</v>
      </c>
      <c r="N29" s="4">
        <f t="shared" si="17"/>
        <v>1</v>
      </c>
      <c r="O29" s="4">
        <f t="shared" si="17"/>
        <v>1</v>
      </c>
      <c r="P29" s="18"/>
      <c r="Q29" s="4">
        <f>IFERROR(Q28/Q10, 0)</f>
        <v>1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254</v>
      </c>
      <c r="C31" s="6"/>
      <c r="D31" s="14">
        <f>SUM(OSRRefD20x_0)</f>
        <v>49153.950000000004</v>
      </c>
      <c r="E31" s="14">
        <f>SUM(OSRRefD20x_1)</f>
        <v>-50410.610000000015</v>
      </c>
      <c r="F31" s="14">
        <f>SUM(OSRRefD20x_2)</f>
        <v>38313.039999999994</v>
      </c>
      <c r="G31" s="14">
        <f>SUM(OSRRefD20x_3)</f>
        <v>83949.309999999983</v>
      </c>
      <c r="H31" s="14">
        <f>SUM(OSRRefD20x_4)</f>
        <v>39180.050000000003</v>
      </c>
      <c r="I31" s="14">
        <f>SUM(OSRRefD20x_5)</f>
        <v>31938.720000000005</v>
      </c>
      <c r="J31" s="14">
        <f>SUM(OSRRefD20x_6)</f>
        <v>18107.290000000005</v>
      </c>
      <c r="K31" s="14">
        <f>SUM(OSRRefD20x_7)</f>
        <v>27592.659999999996</v>
      </c>
      <c r="L31" s="14">
        <f>SUM(OSRRefD20x_8)</f>
        <v>19440.499999999996</v>
      </c>
      <c r="M31" s="14">
        <f>SUM(OSRRefD20x_9)</f>
        <v>15294.86</v>
      </c>
      <c r="N31" s="14">
        <f>SUM(OSRRefE20x_0)</f>
        <v>24235.593557961554</v>
      </c>
      <c r="O31" s="14">
        <f>SUM(OSRRefE20x_1)</f>
        <v>26378.373827961554</v>
      </c>
      <c r="Q31" s="14">
        <f>SUM(OSRRefG20x)</f>
        <v>323173.7373859231</v>
      </c>
    </row>
    <row r="32" spans="1:17" s="34" customFormat="1" collapsed="1" x14ac:dyDescent="0.25">
      <c r="A32" s="35"/>
      <c r="B32" s="11" t="str">
        <f>CONCATENATE("     ","*Benefits                                         ")</f>
        <v xml:space="preserve">     *Benefits                                         </v>
      </c>
      <c r="C32" s="11"/>
      <c r="D32" s="1">
        <f>SUM(OSRRefD21_0x_0)</f>
        <v>7930.28</v>
      </c>
      <c r="E32" s="1">
        <f>SUM(OSRRefD21_0x_1)</f>
        <v>8903.2699999999986</v>
      </c>
      <c r="F32" s="1">
        <f>SUM(OSRRefD21_0x_2)</f>
        <v>9025.3599999999988</v>
      </c>
      <c r="G32" s="1">
        <f>SUM(OSRRefD21_0x_3)</f>
        <v>10414.129999999999</v>
      </c>
      <c r="H32" s="1">
        <f>SUM(OSRRefD21_0x_4)</f>
        <v>9539.5300000000007</v>
      </c>
      <c r="I32" s="1">
        <f>SUM(OSRRefD21_0x_5)</f>
        <v>8896.2999999999993</v>
      </c>
      <c r="J32" s="1">
        <f>SUM(OSRRefD21_0x_6)</f>
        <v>11976.35</v>
      </c>
      <c r="K32" s="1">
        <f>SUM(OSRRefD21_0x_7)</f>
        <v>8802.75</v>
      </c>
      <c r="L32" s="1">
        <f>SUM(OSRRefD21_0x_8)</f>
        <v>8898.1500000000015</v>
      </c>
      <c r="M32" s="1">
        <f>SUM(OSRRefD21_0x_9)</f>
        <v>10512.210000000001</v>
      </c>
      <c r="N32" s="1">
        <f>SUM(OSRRefE21_0x_0)</f>
        <v>7973.3758733461527</v>
      </c>
      <c r="O32" s="1">
        <f>SUM(OSRRefE21_0x_1)</f>
        <v>8016.1561433461529</v>
      </c>
      <c r="Q32" s="2">
        <f>SUM(OSRRefD20_0x)+IFERROR(SUM(OSRRefE20_0x),0)</f>
        <v>110887.86201669231</v>
      </c>
    </row>
    <row r="33" spans="1:17" s="34" customFormat="1" hidden="1" outlineLevel="1" x14ac:dyDescent="0.25">
      <c r="A33" s="35"/>
      <c r="B33" s="10" t="str">
        <f>CONCATENATE("          ","6111", " - ","F.I.C.A.")</f>
        <v xml:space="preserve">          6111 - F.I.C.A.</v>
      </c>
      <c r="C33" s="11"/>
      <c r="D33" s="2">
        <v>1043.3599999999999</v>
      </c>
      <c r="E33" s="2">
        <v>1290.1199999999999</v>
      </c>
      <c r="F33" s="2">
        <v>1220.78</v>
      </c>
      <c r="G33" s="2">
        <v>2004</v>
      </c>
      <c r="H33" s="2">
        <v>1062.21</v>
      </c>
      <c r="I33" s="2">
        <v>1206.3</v>
      </c>
      <c r="J33" s="2">
        <v>1213.6400000000001</v>
      </c>
      <c r="K33" s="2">
        <v>1213.6400000000001</v>
      </c>
      <c r="L33" s="2">
        <v>1213.6400000000001</v>
      </c>
      <c r="M33" s="2">
        <v>1823.33</v>
      </c>
      <c r="N33" s="2">
        <v>1234.38445373077</v>
      </c>
      <c r="O33" s="2">
        <v>1277.16472373077</v>
      </c>
      <c r="P33" s="9"/>
      <c r="Q33" s="2">
        <f>SUM(OSRRefD21_0_0x)+IFERROR(SUM(OSRRefE21_0_0x),0)</f>
        <v>15802.569177461539</v>
      </c>
    </row>
    <row r="34" spans="1:17" s="34" customFormat="1" hidden="1" outlineLevel="1" x14ac:dyDescent="0.25">
      <c r="A34" s="35"/>
      <c r="B34" s="10" t="str">
        <f>CONCATENATE("          ","6112", " - ","COMPENSATION INSURANCE")</f>
        <v xml:space="preserve">          6112 - COMPENSATION INSURANCE</v>
      </c>
      <c r="C34" s="11"/>
      <c r="D34" s="2">
        <v>293.61</v>
      </c>
      <c r="E34" s="2">
        <v>311.95999999999998</v>
      </c>
      <c r="F34" s="2">
        <v>316.77</v>
      </c>
      <c r="G34" s="2">
        <v>308.31</v>
      </c>
      <c r="H34" s="2">
        <v>556.65</v>
      </c>
      <c r="I34" s="2">
        <v>556.65</v>
      </c>
      <c r="J34" s="2">
        <v>61.08</v>
      </c>
      <c r="K34" s="2">
        <v>313.57</v>
      </c>
      <c r="L34" s="2">
        <v>311.66000000000003</v>
      </c>
      <c r="M34" s="2">
        <v>306.89</v>
      </c>
      <c r="N34" s="2">
        <v>308.73575576923099</v>
      </c>
      <c r="O34" s="2">
        <v>308.73575576923099</v>
      </c>
      <c r="P34" s="9"/>
      <c r="Q34" s="2">
        <f>SUM(OSRRefD21_0_1x)+IFERROR(SUM(OSRRefE21_0_1x),0)</f>
        <v>3954.6215115384616</v>
      </c>
    </row>
    <row r="35" spans="1:17" s="34" customFormat="1" hidden="1" outlineLevel="1" x14ac:dyDescent="0.25">
      <c r="A35" s="35"/>
      <c r="B35" s="10" t="str">
        <f>CONCATENATE("          ","6113", " - ","GROUP INSURANCE")</f>
        <v xml:space="preserve">          6113 - GROUP INSURANCE</v>
      </c>
      <c r="C35" s="11"/>
      <c r="D35" s="2">
        <v>2724.48</v>
      </c>
      <c r="E35" s="2">
        <v>3321.73</v>
      </c>
      <c r="F35" s="2">
        <v>3423.78</v>
      </c>
      <c r="G35" s="2">
        <v>3423.78</v>
      </c>
      <c r="H35" s="2">
        <v>3423.78</v>
      </c>
      <c r="I35" s="2">
        <v>3423.78</v>
      </c>
      <c r="J35" s="2">
        <v>6051.48</v>
      </c>
      <c r="K35" s="2">
        <v>3421.48</v>
      </c>
      <c r="L35" s="2">
        <v>3421.48</v>
      </c>
      <c r="M35" s="2">
        <v>3421.48</v>
      </c>
      <c r="N35" s="2">
        <v>3310</v>
      </c>
      <c r="O35" s="2">
        <v>3310</v>
      </c>
      <c r="P35" s="9"/>
      <c r="Q35" s="2">
        <f>SUM(OSRRefD21_0_2x)+IFERROR(SUM(OSRRefE21_0_2x),0)</f>
        <v>42677.25</v>
      </c>
    </row>
    <row r="36" spans="1:17" s="34" customFormat="1" hidden="1" outlineLevel="1" x14ac:dyDescent="0.25">
      <c r="A36" s="35"/>
      <c r="B36" s="10" t="str">
        <f>CONCATENATE("          ","6114", " - ","STATE UNEMPLOYMENT INSURANCE")</f>
        <v xml:space="preserve">          6114 - STATE UNEMPLOYMENT INSURANCE</v>
      </c>
      <c r="C36" s="11"/>
      <c r="D36" s="2">
        <v>41.26</v>
      </c>
      <c r="E36" s="2">
        <v>43.84</v>
      </c>
      <c r="F36" s="2">
        <v>44.52</v>
      </c>
      <c r="G36" s="2">
        <v>43.33</v>
      </c>
      <c r="H36" s="2">
        <v>78.23</v>
      </c>
      <c r="I36" s="2"/>
      <c r="J36" s="2">
        <v>86.81</v>
      </c>
      <c r="K36" s="2">
        <v>44.07</v>
      </c>
      <c r="L36" s="2">
        <v>43.8</v>
      </c>
      <c r="M36" s="2">
        <v>43.13</v>
      </c>
      <c r="N36" s="2">
        <v>43.389890000000001</v>
      </c>
      <c r="O36" s="2">
        <v>43.389890000000001</v>
      </c>
      <c r="P36" s="9"/>
      <c r="Q36" s="2">
        <f>SUM(OSRRefD21_0_3x)+IFERROR(SUM(OSRRefE21_0_3x),0)</f>
        <v>555.76977999999997</v>
      </c>
    </row>
    <row r="37" spans="1:17" s="34" customFormat="1" hidden="1" outlineLevel="1" x14ac:dyDescent="0.25">
      <c r="A37" s="35"/>
      <c r="B37" s="10" t="str">
        <f>CONCATENATE("          ","6115", " - ","P.E.R.S.")</f>
        <v xml:space="preserve">          6115 - P.E.R.S.</v>
      </c>
      <c r="C37" s="11"/>
      <c r="D37" s="2">
        <v>2066.46</v>
      </c>
      <c r="E37" s="2">
        <v>1614.45</v>
      </c>
      <c r="F37" s="2">
        <v>1614.45</v>
      </c>
      <c r="G37" s="2">
        <v>1202.9100000000001</v>
      </c>
      <c r="H37" s="2">
        <v>2180.81</v>
      </c>
      <c r="I37" s="2">
        <v>1385.13</v>
      </c>
      <c r="J37" s="2">
        <v>2421.6799999999998</v>
      </c>
      <c r="K37" s="2">
        <v>1614.45</v>
      </c>
      <c r="L37" s="2">
        <v>1614.45</v>
      </c>
      <c r="M37" s="2">
        <v>1596.69</v>
      </c>
      <c r="N37" s="2">
        <v>1387.1300538461501</v>
      </c>
      <c r="O37" s="2">
        <v>1387.1300538461501</v>
      </c>
      <c r="P37" s="9"/>
      <c r="Q37" s="2">
        <f>SUM(OSRRefD21_0_4x)+IFERROR(SUM(OSRRefE21_0_4x),0)</f>
        <v>20085.740107692298</v>
      </c>
    </row>
    <row r="38" spans="1:17" s="34" customFormat="1" hidden="1" outlineLevel="1" x14ac:dyDescent="0.25">
      <c r="A38" s="35"/>
      <c r="B38" s="10" t="str">
        <f>CONCATENATE("          ","6116", " - ","EDUCATIONAL BENEFITS")</f>
        <v xml:space="preserve">          6116 - EDUCATIONAL BENEFITS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25">
      <c r="A39" s="35"/>
      <c r="B39" s="10" t="str">
        <f>CONCATENATE("          ","6118", " - ","VACATION")</f>
        <v xml:space="preserve">          6118 - VACATION</v>
      </c>
      <c r="C39" s="11"/>
      <c r="D39" s="2">
        <v>978.88</v>
      </c>
      <c r="E39" s="2">
        <v>1216.0999999999999</v>
      </c>
      <c r="F39" s="2">
        <v>1216.0999999999999</v>
      </c>
      <c r="G39" s="2">
        <v>1824.15</v>
      </c>
      <c r="H39" s="2">
        <v>1216.0999999999999</v>
      </c>
      <c r="I39" s="2">
        <v>1216.0999999999999</v>
      </c>
      <c r="J39" s="2">
        <v>1216.0999999999999</v>
      </c>
      <c r="K39" s="2">
        <v>1216.0999999999999</v>
      </c>
      <c r="L39" s="2">
        <v>1216.0999999999999</v>
      </c>
      <c r="M39" s="2">
        <v>1824.15</v>
      </c>
      <c r="N39" s="2">
        <v>1131.2377584615399</v>
      </c>
      <c r="O39" s="2">
        <v>1131.2377584615399</v>
      </c>
      <c r="P39" s="9"/>
      <c r="Q39" s="2">
        <f>SUM(OSRRefD21_0_6x)+IFERROR(SUM(OSRRefE21_0_6x),0)</f>
        <v>15402.35551692308</v>
      </c>
    </row>
    <row r="40" spans="1:17" s="34" customFormat="1" hidden="1" outlineLevel="1" x14ac:dyDescent="0.25">
      <c r="A40" s="35"/>
      <c r="B40" s="10" t="str">
        <f>CONCATENATE("          ","6119", " - ","SICK LEAVE")</f>
        <v xml:space="preserve">          6119 - SICK LEAVE</v>
      </c>
      <c r="C40" s="11"/>
      <c r="D40" s="2">
        <v>632.52</v>
      </c>
      <c r="E40" s="2">
        <v>738.5</v>
      </c>
      <c r="F40" s="2">
        <v>738.5</v>
      </c>
      <c r="G40" s="2">
        <v>1107.75</v>
      </c>
      <c r="H40" s="2">
        <v>738.5</v>
      </c>
      <c r="I40" s="2">
        <v>738.5</v>
      </c>
      <c r="J40" s="2">
        <v>738.5</v>
      </c>
      <c r="K40" s="2">
        <v>738.5</v>
      </c>
      <c r="L40" s="2">
        <v>738.5</v>
      </c>
      <c r="M40" s="2">
        <v>1107.75</v>
      </c>
      <c r="N40" s="2">
        <v>558.49796153846205</v>
      </c>
      <c r="O40" s="2">
        <v>558.49796153846205</v>
      </c>
      <c r="P40" s="9"/>
      <c r="Q40" s="2">
        <f>SUM(OSRRefD21_0_7x)+IFERROR(SUM(OSRRefE21_0_7x),0)</f>
        <v>9134.5159230769241</v>
      </c>
    </row>
    <row r="41" spans="1:17" s="34" customFormat="1" hidden="1" outlineLevel="1" x14ac:dyDescent="0.25">
      <c r="A41" s="35"/>
      <c r="B41" s="10" t="str">
        <f>CONCATENATE("          ","6156", " - ","EMPLOYEE MEALS")</f>
        <v xml:space="preserve">          6156 - EMPLOYEE MEALS</v>
      </c>
      <c r="C41" s="11"/>
      <c r="D41" s="2">
        <v>149.71</v>
      </c>
      <c r="E41" s="2">
        <v>366.57</v>
      </c>
      <c r="F41" s="2">
        <v>450.46</v>
      </c>
      <c r="G41" s="2">
        <v>499.9</v>
      </c>
      <c r="H41" s="2">
        <v>283.25</v>
      </c>
      <c r="I41" s="2">
        <v>369.84</v>
      </c>
      <c r="J41" s="2">
        <v>187.06</v>
      </c>
      <c r="K41" s="2">
        <v>240.94</v>
      </c>
      <c r="L41" s="2">
        <v>338.52</v>
      </c>
      <c r="M41" s="2">
        <v>388.79</v>
      </c>
      <c r="N41" s="2"/>
      <c r="O41" s="2"/>
      <c r="P41" s="9"/>
      <c r="Q41" s="2">
        <f>SUM(OSRRefD21_0_8x)+IFERROR(SUM(OSRRefE21_0_8x),0)</f>
        <v>3275.04</v>
      </c>
    </row>
    <row r="42" spans="1:17" s="34" customFormat="1" collapsed="1" x14ac:dyDescent="0.25">
      <c r="A42" s="35"/>
      <c r="B42" s="11" t="str">
        <f>CONCATENATE("     ","*Payroll                                          ")</f>
        <v xml:space="preserve">     *Payroll                                          </v>
      </c>
      <c r="C42" s="11"/>
      <c r="D42" s="1">
        <f>SUM(OSRRefD21_1x_0)</f>
        <v>15059.94</v>
      </c>
      <c r="E42" s="1">
        <f>SUM(OSRRefD21_1x_1)</f>
        <v>13505.78</v>
      </c>
      <c r="F42" s="1">
        <f>SUM(OSRRefD21_1x_2)</f>
        <v>15984.94</v>
      </c>
      <c r="G42" s="1">
        <f>SUM(OSRRefD21_1x_3)</f>
        <v>15617.39</v>
      </c>
      <c r="H42" s="1">
        <f>SUM(OSRRefD21_1x_4)</f>
        <v>12527.39</v>
      </c>
      <c r="I42" s="1">
        <f>SUM(OSRRefD21_1x_5)</f>
        <v>14567.890000000001</v>
      </c>
      <c r="J42" s="1">
        <f>SUM(OSRRefD21_1x_6)</f>
        <v>20840.240000000002</v>
      </c>
      <c r="K42" s="1">
        <f>SUM(OSRRefD21_1x_7)</f>
        <v>15744.67</v>
      </c>
      <c r="L42" s="1">
        <f>SUM(OSRRefD21_1x_8)</f>
        <v>14970.33</v>
      </c>
      <c r="M42" s="1">
        <f>SUM(OSRRefD21_1x_9)</f>
        <v>16035.06</v>
      </c>
      <c r="N42" s="1">
        <f>SUM(OSRRefE21_1x_0)</f>
        <v>14471.2176846154</v>
      </c>
      <c r="O42" s="1">
        <f>SUM(OSRRefE21_1x_1)</f>
        <v>14471.2176846154</v>
      </c>
      <c r="Q42" s="2">
        <f>SUM(OSRRefD20_1x)+IFERROR(SUM(OSRRefE20_1x),0)</f>
        <v>183796.06536923081</v>
      </c>
    </row>
    <row r="43" spans="1:17" s="34" customFormat="1" hidden="1" outlineLevel="1" x14ac:dyDescent="0.25">
      <c r="A43" s="35"/>
      <c r="B43" s="10" t="str">
        <f>CONCATENATE("          ","6001", " - ","ADMINISTRATIVE SALARIES")</f>
        <v xml:space="preserve">          6001 - ADMINISTRATIVE SALARIES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SUM(OSRRefD21_1_0x)+IFERROR(SUM(OSRRefE21_1_0x),0)</f>
        <v>0</v>
      </c>
    </row>
    <row r="44" spans="1:17" s="34" customFormat="1" hidden="1" outlineLevel="1" x14ac:dyDescent="0.25">
      <c r="A44" s="35"/>
      <c r="B44" s="10" t="str">
        <f>CONCATENATE("          ","6002", " - ","STAFF SALARIES")</f>
        <v xml:space="preserve">          6002 - STAFF SALARIES</v>
      </c>
      <c r="C44" s="11"/>
      <c r="D44" s="2">
        <v>15059.94</v>
      </c>
      <c r="E44" s="2">
        <v>12050.26</v>
      </c>
      <c r="F44" s="2">
        <v>14903.76</v>
      </c>
      <c r="G44" s="2">
        <v>14754.47</v>
      </c>
      <c r="H44" s="2">
        <v>12025.49</v>
      </c>
      <c r="I44" s="2">
        <v>14236.79</v>
      </c>
      <c r="J44" s="2">
        <v>19715.72</v>
      </c>
      <c r="K44" s="2">
        <v>15262.95</v>
      </c>
      <c r="L44" s="2">
        <v>14462.41</v>
      </c>
      <c r="M44" s="2">
        <v>15385.34</v>
      </c>
      <c r="N44" s="2">
        <v>14471.2176846154</v>
      </c>
      <c r="O44" s="2">
        <v>14471.2176846154</v>
      </c>
      <c r="P44" s="9"/>
      <c r="Q44" s="2">
        <f>SUM(OSRRefD21_1_1x)+IFERROR(SUM(OSRRefE21_1_1x),0)</f>
        <v>176799.56536923078</v>
      </c>
    </row>
    <row r="45" spans="1:17" s="34" customFormat="1" hidden="1" outlineLevel="1" x14ac:dyDescent="0.25">
      <c r="A45" s="35"/>
      <c r="B45" s="10" t="str">
        <f>CONCATENATE("          ","6003", " - ","STAFF HOURLY-9 MONTH")</f>
        <v xml:space="preserve">          6003 - STAFF HOURLY-9 MONTH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SUM(OSRRefD21_1_2x)+IFERROR(SUM(OSRRefE21_1_2x),0)</f>
        <v>0</v>
      </c>
    </row>
    <row r="46" spans="1:17" s="34" customFormat="1" hidden="1" outlineLevel="1" x14ac:dyDescent="0.25">
      <c r="A46" s="35"/>
      <c r="B46" s="10" t="str">
        <f>CONCATENATE("          ","6004", " - ","STAFF HOURLY")</f>
        <v xml:space="preserve">          6004 - STAFF HOURLY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SUM(OSRRefD21_1_3x)+IFERROR(SUM(OSRRefE21_1_3x),0)</f>
        <v>0</v>
      </c>
    </row>
    <row r="47" spans="1:17" s="34" customFormat="1" hidden="1" outlineLevel="1" x14ac:dyDescent="0.25">
      <c r="A47" s="35"/>
      <c r="B47" s="10" t="str">
        <f>CONCATENATE("          ","6005", " - ","TEMPORARY WAGES-HOURLY")</f>
        <v xml:space="preserve">          6005 - TEMPORARY WAGES-HOURLY</v>
      </c>
      <c r="C47" s="11"/>
      <c r="D47" s="2"/>
      <c r="E47" s="2">
        <v>383.25</v>
      </c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SUM(OSRRefD21_1_4x)+IFERROR(SUM(OSRRefE21_1_4x),0)</f>
        <v>383.25</v>
      </c>
    </row>
    <row r="48" spans="1:17" s="34" customFormat="1" hidden="1" outlineLevel="1" x14ac:dyDescent="0.25">
      <c r="A48" s="35"/>
      <c r="B48" s="10" t="str">
        <f>CONCATENATE("          ","6006", " - ","TEMPORARY PART TIME")</f>
        <v xml:space="preserve">          6006 - TEMPORARY PART TIME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SUM(OSRRefD21_1_5x)+IFERROR(SUM(OSRRefE21_1_5x),0)</f>
        <v>0</v>
      </c>
    </row>
    <row r="49" spans="1:17" s="34" customFormat="1" hidden="1" outlineLevel="1" x14ac:dyDescent="0.25">
      <c r="A49" s="35"/>
      <c r="B49" s="10" t="str">
        <f>CONCATENATE("          ","6007", " - ","STUDENT HOURLY")</f>
        <v xml:space="preserve">          6007 - STUDENT HOURLY</v>
      </c>
      <c r="C49" s="11"/>
      <c r="D49" s="2"/>
      <c r="E49" s="2">
        <v>1072.27</v>
      </c>
      <c r="F49" s="2">
        <v>1081.18</v>
      </c>
      <c r="G49" s="2">
        <v>862.92</v>
      </c>
      <c r="H49" s="2">
        <v>501.9</v>
      </c>
      <c r="I49" s="2">
        <v>331.1</v>
      </c>
      <c r="J49" s="2">
        <v>1124.52</v>
      </c>
      <c r="K49" s="2">
        <v>481.72</v>
      </c>
      <c r="L49" s="2">
        <v>507.92</v>
      </c>
      <c r="M49" s="2">
        <v>649.72</v>
      </c>
      <c r="N49" s="2">
        <v>0</v>
      </c>
      <c r="O49" s="2">
        <v>0</v>
      </c>
      <c r="P49" s="9"/>
      <c r="Q49" s="2">
        <f>SUM(OSRRefD21_1_6x)+IFERROR(SUM(OSRRefE21_1_6x),0)</f>
        <v>6613.25</v>
      </c>
    </row>
    <row r="50" spans="1:17" s="34" customFormat="1" hidden="1" outlineLevel="1" x14ac:dyDescent="0.25">
      <c r="A50" s="35"/>
      <c r="B50" s="10" t="str">
        <f>CONCATENATE("          ","6008", " - ","STUDENT HOURLY-FICA EXEMPT")</f>
        <v xml:space="preserve">          6008 - STUDENT HOURLY-FICA EXEMPT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SUM(OSRRefD21_1_7x)+IFERROR(SUM(OSRRefE21_1_7x),0)</f>
        <v>0</v>
      </c>
    </row>
    <row r="51" spans="1:17" s="34" customFormat="1" hidden="1" outlineLevel="1" x14ac:dyDescent="0.25">
      <c r="A51" s="35"/>
      <c r="B51" s="10" t="str">
        <f>CONCATENATE("          ","6009", " - ","TEMPORARY-SEASONAL")</f>
        <v xml:space="preserve">          6009 - TEMPORARY-SEASONAL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SUM(OSRRefD21_1_8x)+IFERROR(SUM(OSRRefE21_1_8x),0)</f>
        <v>0</v>
      </c>
    </row>
    <row r="52" spans="1:17" s="34" customFormat="1" hidden="1" outlineLevel="1" x14ac:dyDescent="0.25">
      <c r="A52" s="35"/>
      <c r="B52" s="10" t="str">
        <f>CONCATENATE("          ","6010", " - ","GRATUITY")</f>
        <v xml:space="preserve">          6010 - GRATUITY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SUM(OSRRefD21_1_9x)+IFERROR(SUM(OSRRefE21_1_9x),0)</f>
        <v>0</v>
      </c>
    </row>
    <row r="53" spans="1:17" s="34" customFormat="1" collapsed="1" x14ac:dyDescent="0.25">
      <c r="A53" s="35"/>
      <c r="B53" s="11" t="str">
        <f>CONCATENATE("     ","Advertising/Promo                                 ")</f>
        <v xml:space="preserve">     Advertising/Promo                                 </v>
      </c>
      <c r="C53" s="11"/>
      <c r="D53" s="1">
        <f>SUM(OSRRefD21_2x_0)</f>
        <v>0</v>
      </c>
      <c r="E53" s="1">
        <f>SUM(OSRRefD21_2x_1)</f>
        <v>0</v>
      </c>
      <c r="F53" s="1">
        <f>SUM(OSRRefD21_2x_2)</f>
        <v>0</v>
      </c>
      <c r="G53" s="1">
        <f>SUM(OSRRefD21_2x_3)</f>
        <v>0</v>
      </c>
      <c r="H53" s="1">
        <f>SUM(OSRRefD21_2x_4)</f>
        <v>0</v>
      </c>
      <c r="I53" s="1">
        <f>SUM(OSRRefD21_2x_5)</f>
        <v>0</v>
      </c>
      <c r="J53" s="1">
        <f>SUM(OSRRefD21_2x_6)</f>
        <v>0</v>
      </c>
      <c r="K53" s="1">
        <f>SUM(OSRRefD21_2x_7)</f>
        <v>0</v>
      </c>
      <c r="L53" s="1">
        <f>SUM(OSRRefD21_2x_8)</f>
        <v>0</v>
      </c>
      <c r="M53" s="1">
        <f>SUM(OSRRefD21_2x_9)</f>
        <v>0</v>
      </c>
      <c r="N53" s="1">
        <f>SUM(OSRRefE21_2x_0)</f>
        <v>50</v>
      </c>
      <c r="O53" s="1">
        <f>SUM(OSRRefE21_2x_1)</f>
        <v>50</v>
      </c>
      <c r="Q53" s="2">
        <f>SUM(OSRRefD20_2x)+IFERROR(SUM(OSRRefE20_2x),0)</f>
        <v>100</v>
      </c>
    </row>
    <row r="54" spans="1:17" s="34" customFormat="1" hidden="1" outlineLevel="1" x14ac:dyDescent="0.25">
      <c r="A54" s="35"/>
      <c r="B54" s="10" t="str">
        <f>CONCATENATE("          ","6362", " - ","ADVERTISING EXPENSE")</f>
        <v xml:space="preserve">          6362 - ADVERTISING EXPENSE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50</v>
      </c>
      <c r="O54" s="2">
        <v>50</v>
      </c>
      <c r="P54" s="9"/>
      <c r="Q54" s="2">
        <f>SUM(OSRRefD21_2_0x)+IFERROR(SUM(OSRRefE21_2_0x),0)</f>
        <v>100</v>
      </c>
    </row>
    <row r="55" spans="1:17" s="34" customFormat="1" collapsed="1" x14ac:dyDescent="0.25">
      <c r="A55" s="35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SUM(OSRRefD21_3x_0)</f>
        <v>169.88</v>
      </c>
      <c r="E55" s="1">
        <f>SUM(OSRRefD21_3x_1)</f>
        <v>169.88</v>
      </c>
      <c r="F55" s="1">
        <f>SUM(OSRRefD21_3x_2)</f>
        <v>169.88</v>
      </c>
      <c r="G55" s="1">
        <f>SUM(OSRRefD21_3x_3)</f>
        <v>169.88</v>
      </c>
      <c r="H55" s="1">
        <f>SUM(OSRRefD21_3x_4)</f>
        <v>169.88</v>
      </c>
      <c r="I55" s="1">
        <f>SUM(OSRRefD21_3x_5)</f>
        <v>169.88</v>
      </c>
      <c r="J55" s="1">
        <f>SUM(OSRRefD21_3x_6)</f>
        <v>169.88</v>
      </c>
      <c r="K55" s="1">
        <f>SUM(OSRRefD21_3x_7)</f>
        <v>169.88</v>
      </c>
      <c r="L55" s="1">
        <f>SUM(OSRRefD21_3x_8)</f>
        <v>169.88</v>
      </c>
      <c r="M55" s="1">
        <f>SUM(OSRRefD21_3x_9)</f>
        <v>169.88</v>
      </c>
      <c r="N55" s="1">
        <f>SUM(OSRRefE21_3x_0)</f>
        <v>170</v>
      </c>
      <c r="O55" s="1">
        <f>SUM(OSRRefE21_3x_1)</f>
        <v>170</v>
      </c>
      <c r="Q55" s="2">
        <f>SUM(OSRRefD20_3x)+IFERROR(SUM(OSRRefE20_3x),0)</f>
        <v>2038.8000000000002</v>
      </c>
    </row>
    <row r="56" spans="1:17" s="34" customFormat="1" hidden="1" outlineLevel="1" x14ac:dyDescent="0.25">
      <c r="A56" s="35"/>
      <c r="B56" s="10" t="str">
        <f>CONCATENATE("          ","6322", " - ","EQUIPMENT DEPRECIATION EXPENSE")</f>
        <v xml:space="preserve">          6322 - EQUIPMENT DEPRECIATION EXPENSE</v>
      </c>
      <c r="C56" s="11"/>
      <c r="D56" s="2">
        <v>169.88</v>
      </c>
      <c r="E56" s="2">
        <v>169.88</v>
      </c>
      <c r="F56" s="2">
        <v>169.88</v>
      </c>
      <c r="G56" s="2">
        <v>169.88</v>
      </c>
      <c r="H56" s="2">
        <v>169.88</v>
      </c>
      <c r="I56" s="2">
        <v>169.88</v>
      </c>
      <c r="J56" s="2">
        <v>169.88</v>
      </c>
      <c r="K56" s="2">
        <v>169.88</v>
      </c>
      <c r="L56" s="2">
        <v>169.88</v>
      </c>
      <c r="M56" s="2">
        <v>169.88</v>
      </c>
      <c r="N56" s="2">
        <v>170</v>
      </c>
      <c r="O56" s="2">
        <v>170</v>
      </c>
      <c r="P56" s="9"/>
      <c r="Q56" s="2">
        <f>SUM(OSRRefD21_3_0x)+IFERROR(SUM(OSRRefE21_3_0x),0)</f>
        <v>2038.8000000000002</v>
      </c>
    </row>
    <row r="57" spans="1:17" s="34" customFormat="1" collapsed="1" x14ac:dyDescent="0.25">
      <c r="A57" s="35"/>
      <c r="B57" s="11" t="str">
        <f>CONCATENATE("     ","Discounts and Markdowns                           ")</f>
        <v xml:space="preserve">     Discounts and Markdowns                           </v>
      </c>
      <c r="C57" s="11"/>
      <c r="D57" s="1">
        <f>SUM(OSRRefD21_4x_0)</f>
        <v>0</v>
      </c>
      <c r="E57" s="1">
        <f>SUM(OSRRefD21_4x_1)</f>
        <v>0</v>
      </c>
      <c r="F57" s="1">
        <f>SUM(OSRRefD21_4x_2)</f>
        <v>0</v>
      </c>
      <c r="G57" s="1">
        <f>SUM(OSRRefD21_4x_3)</f>
        <v>0</v>
      </c>
      <c r="H57" s="1">
        <f>SUM(OSRRefD21_4x_4)</f>
        <v>0</v>
      </c>
      <c r="I57" s="1">
        <f>SUM(OSRRefD21_4x_5)</f>
        <v>0</v>
      </c>
      <c r="J57" s="1">
        <f>SUM(OSRRefD21_4x_6)</f>
        <v>0</v>
      </c>
      <c r="K57" s="1">
        <f>SUM(OSRRefD21_4x_7)</f>
        <v>0</v>
      </c>
      <c r="L57" s="1">
        <f>SUM(OSRRefD21_4x_8)</f>
        <v>0</v>
      </c>
      <c r="M57" s="1">
        <f>SUM(OSRRefD21_4x_9)</f>
        <v>0</v>
      </c>
      <c r="N57" s="1">
        <f>SUM(OSRRefE21_4x_0)</f>
        <v>50</v>
      </c>
      <c r="O57" s="1">
        <f>SUM(OSRRefE21_4x_1)</f>
        <v>50</v>
      </c>
      <c r="Q57" s="2">
        <f>SUM(OSRRefD20_4x)+IFERROR(SUM(OSRRefE20_4x),0)</f>
        <v>100</v>
      </c>
    </row>
    <row r="58" spans="1:17" s="34" customFormat="1" hidden="1" outlineLevel="1" x14ac:dyDescent="0.25">
      <c r="A58" s="35"/>
      <c r="B58" s="10" t="str">
        <f>CONCATENATE("          ","6382", " - ","DISCOUNTS/MARK DOWNS")</f>
        <v xml:space="preserve">          6382 - DISCOUNTS/MARK DOWNS</v>
      </c>
      <c r="C58" s="11"/>
      <c r="D58" s="2"/>
      <c r="E58" s="2">
        <v>0</v>
      </c>
      <c r="F58" s="2">
        <v>0</v>
      </c>
      <c r="G58" s="2">
        <v>0</v>
      </c>
      <c r="H58" s="2"/>
      <c r="I58" s="2"/>
      <c r="J58" s="2">
        <v>0</v>
      </c>
      <c r="K58" s="2"/>
      <c r="L58" s="2"/>
      <c r="M58" s="2"/>
      <c r="N58" s="2">
        <v>50</v>
      </c>
      <c r="O58" s="2">
        <v>50</v>
      </c>
      <c r="P58" s="9"/>
      <c r="Q58" s="2">
        <f>SUM(OSRRefD21_4_0x)+IFERROR(SUM(OSRRefE21_4_0x),0)</f>
        <v>100</v>
      </c>
    </row>
    <row r="59" spans="1:17" s="34" customFormat="1" collapsed="1" x14ac:dyDescent="0.25">
      <c r="A59" s="35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SUM(OSRRefD21_5x_0)</f>
        <v>1205.6400000000001</v>
      </c>
      <c r="E59" s="1">
        <f>SUM(OSRRefD21_5x_1)</f>
        <v>1205.6400000000001</v>
      </c>
      <c r="F59" s="1">
        <f>SUM(OSRRefD21_5x_2)</f>
        <v>1205.6400000000001</v>
      </c>
      <c r="G59" s="1">
        <f>SUM(OSRRefD21_5x_3)</f>
        <v>1205.6400000000001</v>
      </c>
      <c r="H59" s="1">
        <f>SUM(OSRRefD21_5x_4)</f>
        <v>1205.6400000000001</v>
      </c>
      <c r="I59" s="1">
        <f>SUM(OSRRefD21_5x_5)</f>
        <v>1205.6400000000001</v>
      </c>
      <c r="J59" s="1">
        <f>SUM(OSRRefD21_5x_6)</f>
        <v>1205.6400000000001</v>
      </c>
      <c r="K59" s="1">
        <f>SUM(OSRRefD21_5x_7)</f>
        <v>1205.6400000000001</v>
      </c>
      <c r="L59" s="1">
        <f>SUM(OSRRefD21_5x_8)</f>
        <v>1205.6400000000001</v>
      </c>
      <c r="M59" s="1">
        <f>SUM(OSRRefD21_5x_9)</f>
        <v>1205.6400000000001</v>
      </c>
      <c r="N59" s="1">
        <f>SUM(OSRRefE21_5x_0)</f>
        <v>1206</v>
      </c>
      <c r="O59" s="1">
        <f>SUM(OSRRefE21_5x_1)</f>
        <v>1206</v>
      </c>
      <c r="Q59" s="2">
        <f>SUM(OSRRefD20_5x)+IFERROR(SUM(OSRRefE20_5x),0)</f>
        <v>14468.4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1"/>
      <c r="D60" s="2">
        <v>1205.6400000000001</v>
      </c>
      <c r="E60" s="2">
        <v>1205.6400000000001</v>
      </c>
      <c r="F60" s="2">
        <v>1205.6400000000001</v>
      </c>
      <c r="G60" s="2">
        <v>1205.6400000000001</v>
      </c>
      <c r="H60" s="2">
        <v>1205.6400000000001</v>
      </c>
      <c r="I60" s="2">
        <v>1205.6400000000001</v>
      </c>
      <c r="J60" s="2">
        <v>1205.6400000000001</v>
      </c>
      <c r="K60" s="2">
        <v>1205.6400000000001</v>
      </c>
      <c r="L60" s="2">
        <v>1205.6400000000001</v>
      </c>
      <c r="M60" s="2">
        <v>1205.6400000000001</v>
      </c>
      <c r="N60" s="2">
        <v>1206</v>
      </c>
      <c r="O60" s="2">
        <v>1206</v>
      </c>
      <c r="P60" s="9"/>
      <c r="Q60" s="2">
        <f>SUM(OSRRefD21_5_0x)+IFERROR(SUM(OSRRefE21_5_0x),0)</f>
        <v>14468.4</v>
      </c>
    </row>
    <row r="61" spans="1:17" s="34" customFormat="1" collapsed="1" x14ac:dyDescent="0.25">
      <c r="A61" s="35"/>
      <c r="B61" s="11" t="str">
        <f>CONCATENATE("     ","Freight out/Postage                               ")</f>
        <v xml:space="preserve">     Freight out/Postage                               </v>
      </c>
      <c r="C61" s="11"/>
      <c r="D61" s="1">
        <f>SUM(OSRRefD21_6x_0)</f>
        <v>8744.76</v>
      </c>
      <c r="E61" s="1">
        <f>SUM(OSRRefD21_6x_1)</f>
        <v>-84423.840000000011</v>
      </c>
      <c r="F61" s="1">
        <f>SUM(OSRRefD21_6x_2)</f>
        <v>-6321.6000000000013</v>
      </c>
      <c r="G61" s="1">
        <f>SUM(OSRRefD21_6x_3)</f>
        <v>48851.519999999997</v>
      </c>
      <c r="H61" s="1">
        <f>SUM(OSRRefD21_6x_4)</f>
        <v>8307.7900000000009</v>
      </c>
      <c r="I61" s="1">
        <f>SUM(OSRRefD21_6x_5)</f>
        <v>107.48999999999978</v>
      </c>
      <c r="J61" s="1">
        <f>SUM(OSRRefD21_6x_6)</f>
        <v>-23491.679999999997</v>
      </c>
      <c r="K61" s="1">
        <f>SUM(OSRRefD21_6x_7)</f>
        <v>2803.1499999999978</v>
      </c>
      <c r="L61" s="1">
        <f>SUM(OSRRefD21_6x_8)</f>
        <v>-8583.6000000000022</v>
      </c>
      <c r="M61" s="1">
        <f>SUM(OSRRefD21_6x_9)</f>
        <v>-18667.690000000002</v>
      </c>
      <c r="N61" s="1">
        <f>SUM(OSRRefE21_6x_0)</f>
        <v>-2750</v>
      </c>
      <c r="O61" s="1">
        <f>SUM(OSRRefE21_6x_1)</f>
        <v>-1000</v>
      </c>
      <c r="Q61" s="2">
        <f>SUM(OSRRefD20_6x)+IFERROR(SUM(OSRRefE20_6x),0)</f>
        <v>-76423.700000000041</v>
      </c>
    </row>
    <row r="62" spans="1:17" s="34" customFormat="1" hidden="1" outlineLevel="1" x14ac:dyDescent="0.25">
      <c r="A62" s="35"/>
      <c r="B62" s="10" t="str">
        <f>CONCATENATE("          ","6305", " - ","FREIGHT OUT")</f>
        <v xml:space="preserve">          6305 - FREIGHT OUT</v>
      </c>
      <c r="C62" s="11"/>
      <c r="D62" s="2">
        <v>11905.2</v>
      </c>
      <c r="E62" s="2">
        <v>7873.15</v>
      </c>
      <c r="F62" s="2">
        <v>5262.44</v>
      </c>
      <c r="G62" s="2">
        <v>60553.99</v>
      </c>
      <c r="H62" s="2">
        <v>12643.45</v>
      </c>
      <c r="I62" s="2">
        <v>9824.01</v>
      </c>
      <c r="J62" s="2">
        <v>18016.990000000002</v>
      </c>
      <c r="K62" s="2">
        <v>24817.48</v>
      </c>
      <c r="L62" s="2">
        <v>10582.48</v>
      </c>
      <c r="M62" s="2">
        <v>16530.71</v>
      </c>
      <c r="N62" s="2">
        <v>2250</v>
      </c>
      <c r="O62" s="2">
        <v>1000</v>
      </c>
      <c r="P62" s="9"/>
      <c r="Q62" s="2">
        <f>SUM(OSRRefD21_6_0x)+IFERROR(SUM(OSRRefE21_6_0x),0)</f>
        <v>181259.9</v>
      </c>
    </row>
    <row r="63" spans="1:17" s="34" customFormat="1" hidden="1" outlineLevel="1" x14ac:dyDescent="0.25">
      <c r="A63" s="35"/>
      <c r="B63" s="10" t="str">
        <f>CONCATENATE("          ","6307", " - ","POSTAGE")</f>
        <v xml:space="preserve">          6307 - POSTAGE</v>
      </c>
      <c r="C63" s="11"/>
      <c r="D63" s="2">
        <v>-3160.44</v>
      </c>
      <c r="E63" s="2">
        <v>-92296.99</v>
      </c>
      <c r="F63" s="2">
        <v>-11584.04</v>
      </c>
      <c r="G63" s="2">
        <v>-11702.47</v>
      </c>
      <c r="H63" s="2">
        <v>-4335.66</v>
      </c>
      <c r="I63" s="2">
        <v>-9716.52</v>
      </c>
      <c r="J63" s="2">
        <v>-41508.67</v>
      </c>
      <c r="K63" s="2">
        <v>-22014.33</v>
      </c>
      <c r="L63" s="2">
        <v>-19166.080000000002</v>
      </c>
      <c r="M63" s="2">
        <v>-35198.400000000001</v>
      </c>
      <c r="N63" s="2">
        <v>-5000</v>
      </c>
      <c r="O63" s="2">
        <v>-2000</v>
      </c>
      <c r="P63" s="9"/>
      <c r="Q63" s="2">
        <f>SUM(OSRRefD21_6_1x)+IFERROR(SUM(OSRRefE21_6_1x),0)</f>
        <v>-257683.6</v>
      </c>
    </row>
    <row r="64" spans="1:17" s="34" customFormat="1" collapsed="1" x14ac:dyDescent="0.25">
      <c r="A64" s="35"/>
      <c r="B64" s="11" t="str">
        <f>CONCATENATE("     ","Repair and Maintenance                            ")</f>
        <v xml:space="preserve">     Repair and Maintenance                            </v>
      </c>
      <c r="C64" s="11"/>
      <c r="D64" s="1">
        <f>SUM(OSRRefD21_7x_0)</f>
        <v>6378.1</v>
      </c>
      <c r="E64" s="1">
        <f>SUM(OSRRefD21_7x_1)</f>
        <v>5225.0200000000004</v>
      </c>
      <c r="F64" s="1">
        <f>SUM(OSRRefD21_7x_2)</f>
        <v>7243.55</v>
      </c>
      <c r="G64" s="1">
        <f>SUM(OSRRefD21_7x_3)</f>
        <v>5274.0899999999992</v>
      </c>
      <c r="H64" s="1">
        <f>SUM(OSRRefD21_7x_4)</f>
        <v>400.12</v>
      </c>
      <c r="I64" s="1">
        <f>SUM(OSRRefD21_7x_5)</f>
        <v>4858.63</v>
      </c>
      <c r="J64" s="1">
        <f>SUM(OSRRefD21_7x_6)</f>
        <v>1053.08</v>
      </c>
      <c r="K64" s="1">
        <f>SUM(OSRRefD21_7x_7)</f>
        <v>472.97</v>
      </c>
      <c r="L64" s="1">
        <f>SUM(OSRRefD21_7x_8)</f>
        <v>85.78</v>
      </c>
      <c r="M64" s="1">
        <f>SUM(OSRRefD21_7x_9)</f>
        <v>102.36</v>
      </c>
      <c r="N64" s="1">
        <f>SUM(OSRRefE21_7x_0)</f>
        <v>2000</v>
      </c>
      <c r="O64" s="1">
        <f>SUM(OSRRefE21_7x_1)</f>
        <v>3000</v>
      </c>
      <c r="Q64" s="2">
        <f>SUM(OSRRefD20_7x)+IFERROR(SUM(OSRRefE20_7x),0)</f>
        <v>36093.700000000004</v>
      </c>
    </row>
    <row r="65" spans="1:17" s="34" customFormat="1" hidden="1" outlineLevel="1" x14ac:dyDescent="0.25">
      <c r="A65" s="35"/>
      <c r="B65" s="10" t="str">
        <f>CONCATENATE("          ","6371", " - ","COMPUTER SOFTWARE MAINTENANCE")</f>
        <v xml:space="preserve">          6371 - COMPUTER SOFTWARE MAINTENANCE</v>
      </c>
      <c r="C65" s="11"/>
      <c r="D65" s="2"/>
      <c r="E65" s="2"/>
      <c r="F65" s="2"/>
      <c r="G65" s="2">
        <v>7.69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SUM(OSRRefD21_7_0x)+IFERROR(SUM(OSRRefE21_7_0x),0)</f>
        <v>7.69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1"/>
      <c r="D66" s="2">
        <v>6378.1</v>
      </c>
      <c r="E66" s="2">
        <v>5225.0200000000004</v>
      </c>
      <c r="F66" s="2">
        <v>7243.55</v>
      </c>
      <c r="G66" s="2">
        <v>5266.4</v>
      </c>
      <c r="H66" s="2">
        <v>400.12</v>
      </c>
      <c r="I66" s="2">
        <v>4858.63</v>
      </c>
      <c r="J66" s="2">
        <v>1053.08</v>
      </c>
      <c r="K66" s="2">
        <v>472.97</v>
      </c>
      <c r="L66" s="2">
        <v>85.78</v>
      </c>
      <c r="M66" s="2">
        <v>97.76</v>
      </c>
      <c r="N66" s="2">
        <v>2000</v>
      </c>
      <c r="O66" s="2">
        <v>3000</v>
      </c>
      <c r="P66" s="9"/>
      <c r="Q66" s="2">
        <f>SUM(OSRRefD21_7_1x)+IFERROR(SUM(OSRRefE21_7_1x),0)</f>
        <v>36081.410000000003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4.5999999999999996</v>
      </c>
      <c r="N67" s="2"/>
      <c r="O67" s="2"/>
      <c r="P67" s="9"/>
      <c r="Q67" s="2">
        <f>SUM(OSRRefD21_7_2x)+IFERROR(SUM(OSRRefE21_7_2x),0)</f>
        <v>4.5999999999999996</v>
      </c>
    </row>
    <row r="68" spans="1:17" s="34" customFormat="1" collapsed="1" x14ac:dyDescent="0.25">
      <c r="A68" s="35"/>
      <c r="B68" s="11" t="str">
        <f>CONCATENATE("     ","Royalty &amp; Commissions                             ")</f>
        <v xml:space="preserve">     Royalty &amp; Commissions                             </v>
      </c>
      <c r="C68" s="11"/>
      <c r="D68" s="1">
        <f>SUM(OSRRefD21_8x_0)</f>
        <v>5317.55</v>
      </c>
      <c r="E68" s="1">
        <f>SUM(OSRRefD21_8x_1)</f>
        <v>4.6500000000000004</v>
      </c>
      <c r="F68" s="1">
        <f>SUM(OSRRefD21_8x_2)</f>
        <v>62.6</v>
      </c>
      <c r="G68" s="1">
        <f>SUM(OSRRefD21_8x_3)</f>
        <v>320.39999999999998</v>
      </c>
      <c r="H68" s="1">
        <f>SUM(OSRRefD21_8x_4)</f>
        <v>4453.09</v>
      </c>
      <c r="I68" s="1">
        <f>SUM(OSRRefD21_8x_5)</f>
        <v>5.97</v>
      </c>
      <c r="J68" s="1">
        <f>SUM(OSRRefD21_8x_6)</f>
        <v>3.81</v>
      </c>
      <c r="K68" s="1">
        <f>SUM(OSRRefD21_8x_7)</f>
        <v>468.34</v>
      </c>
      <c r="L68" s="1">
        <f>SUM(OSRRefD21_8x_8)</f>
        <v>27.21</v>
      </c>
      <c r="M68" s="1">
        <f>SUM(OSRRefD21_8x_9)</f>
        <v>2570.27</v>
      </c>
      <c r="N68" s="1">
        <f>SUM(OSRRefE21_8x_0)</f>
        <v>100</v>
      </c>
      <c r="O68" s="1">
        <f>SUM(OSRRefE21_8x_1)</f>
        <v>100</v>
      </c>
      <c r="Q68" s="2">
        <f>SUM(OSRRefD20_8x)+IFERROR(SUM(OSRRefE20_8x),0)</f>
        <v>13433.89</v>
      </c>
    </row>
    <row r="69" spans="1:17" s="34" customFormat="1" hidden="1" outlineLevel="1" x14ac:dyDescent="0.25">
      <c r="A69" s="35"/>
      <c r="B69" s="10" t="str">
        <f>CONCATENATE("          ","6259", " - ","ROYALTY &amp; COMMISSIONS")</f>
        <v xml:space="preserve">          6259 - ROYALTY &amp; COMMISSIONS</v>
      </c>
      <c r="C69" s="11"/>
      <c r="D69" s="2">
        <v>5317.55</v>
      </c>
      <c r="E69" s="2">
        <v>4.6500000000000004</v>
      </c>
      <c r="F69" s="2">
        <v>62.6</v>
      </c>
      <c r="G69" s="2">
        <v>320.39999999999998</v>
      </c>
      <c r="H69" s="2">
        <v>4453.09</v>
      </c>
      <c r="I69" s="2">
        <v>5.97</v>
      </c>
      <c r="J69" s="2">
        <v>3.81</v>
      </c>
      <c r="K69" s="2">
        <v>468.34</v>
      </c>
      <c r="L69" s="2">
        <v>27.21</v>
      </c>
      <c r="M69" s="2">
        <v>2570.27</v>
      </c>
      <c r="N69" s="2">
        <v>100</v>
      </c>
      <c r="O69" s="2">
        <v>100</v>
      </c>
      <c r="P69" s="9"/>
      <c r="Q69" s="2">
        <f>SUM(OSRRefD21_8_0x)+IFERROR(SUM(OSRRefE21_8_0x),0)</f>
        <v>13433.89</v>
      </c>
    </row>
    <row r="70" spans="1:17" s="34" customFormat="1" collapsed="1" x14ac:dyDescent="0.25">
      <c r="A70" s="35"/>
      <c r="B70" s="11" t="str">
        <f>CONCATENATE("     ","Supplies                                          ")</f>
        <v xml:space="preserve">     Supplies                                          </v>
      </c>
      <c r="C70" s="11"/>
      <c r="D70" s="1">
        <f>SUM(OSRRefD21_9x_0)</f>
        <v>4147.8</v>
      </c>
      <c r="E70" s="1">
        <f>SUM(OSRRefD21_9x_1)</f>
        <v>4783.22</v>
      </c>
      <c r="F70" s="1">
        <f>SUM(OSRRefD21_9x_2)</f>
        <v>10677.67</v>
      </c>
      <c r="G70" s="1">
        <f>SUM(OSRRefD21_9x_3)</f>
        <v>1902.8600000000001</v>
      </c>
      <c r="H70" s="1">
        <f>SUM(OSRRefD21_9x_4)</f>
        <v>2362.06</v>
      </c>
      <c r="I70" s="1">
        <f>SUM(OSRRefD21_9x_5)</f>
        <v>1943.62</v>
      </c>
      <c r="J70" s="1">
        <f>SUM(OSRRefD21_9x_6)</f>
        <v>6267.77</v>
      </c>
      <c r="K70" s="1">
        <f>SUM(OSRRefD21_9x_7)</f>
        <v>-2156.8399999999997</v>
      </c>
      <c r="L70" s="1">
        <f>SUM(OSRRefD21_9x_8)</f>
        <v>2585.0099999999998</v>
      </c>
      <c r="M70" s="1">
        <f>SUM(OSRRefD21_9x_9)</f>
        <v>3285.03</v>
      </c>
      <c r="N70" s="1">
        <f>SUM(OSRRefE21_9x_0)</f>
        <v>800</v>
      </c>
      <c r="O70" s="1">
        <f>SUM(OSRRefE21_9x_1)</f>
        <v>150</v>
      </c>
      <c r="Q70" s="2">
        <f>SUM(OSRRefD20_9x)+IFERROR(SUM(OSRRefE20_9x),0)</f>
        <v>36748.200000000004</v>
      </c>
    </row>
    <row r="71" spans="1:17" s="34" customFormat="1" hidden="1" outlineLevel="1" x14ac:dyDescent="0.25">
      <c r="A71" s="35"/>
      <c r="B71" s="10" t="str">
        <f>CONCATENATE("          ","6235", " - ","COVID-19 EXPENSES")</f>
        <v xml:space="preserve">          6235 - COVID-19 EXPENSES</v>
      </c>
      <c r="C71" s="11"/>
      <c r="D71" s="2">
        <v>310.91000000000003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9"/>
      <c r="Q71" s="2">
        <f>SUM(OSRRefD21_9_0x)+IFERROR(SUM(OSRRefE21_9_0x),0)</f>
        <v>310.91000000000003</v>
      </c>
    </row>
    <row r="72" spans="1:17" s="34" customFormat="1" hidden="1" outlineLevel="1" x14ac:dyDescent="0.25">
      <c r="A72" s="35"/>
      <c r="B72" s="10" t="str">
        <f>CONCATENATE("          ","6241", " - ","OFFICE EXPENSE")</f>
        <v xml:space="preserve">          6241 - OFFICE EXPENSE</v>
      </c>
      <c r="C72" s="11"/>
      <c r="D72" s="2"/>
      <c r="E72" s="2"/>
      <c r="F72" s="2">
        <v>4590.26</v>
      </c>
      <c r="G72" s="2">
        <v>6.6</v>
      </c>
      <c r="H72" s="2"/>
      <c r="I72" s="2"/>
      <c r="J72" s="2"/>
      <c r="K72" s="2">
        <v>7.71</v>
      </c>
      <c r="L72" s="2">
        <v>46.64</v>
      </c>
      <c r="M72" s="2">
        <v>6.55</v>
      </c>
      <c r="N72" s="2"/>
      <c r="O72" s="2"/>
      <c r="P72" s="9"/>
      <c r="Q72" s="2">
        <f>SUM(OSRRefD21_9_1x)+IFERROR(SUM(OSRRefE21_9_1x),0)</f>
        <v>4657.7600000000011</v>
      </c>
    </row>
    <row r="73" spans="1:17" s="34" customFormat="1" hidden="1" outlineLevel="1" x14ac:dyDescent="0.25">
      <c r="A73" s="35"/>
      <c r="B73" s="10" t="str">
        <f>CONCATENATE("          ","6243", " - ","PAPER SUPPLIES")</f>
        <v xml:space="preserve">          6243 - PAPER SUPPLIES</v>
      </c>
      <c r="C73" s="11"/>
      <c r="D73" s="2">
        <v>1080</v>
      </c>
      <c r="E73" s="2">
        <v>2044.69</v>
      </c>
      <c r="F73" s="2"/>
      <c r="G73" s="2">
        <v>449.01</v>
      </c>
      <c r="H73" s="2">
        <v>1108.5999999999999</v>
      </c>
      <c r="I73" s="2">
        <v>411.1</v>
      </c>
      <c r="J73" s="2">
        <v>1080</v>
      </c>
      <c r="K73" s="2"/>
      <c r="L73" s="2">
        <v>309.25</v>
      </c>
      <c r="M73" s="2">
        <v>199.93</v>
      </c>
      <c r="N73" s="2">
        <v>750</v>
      </c>
      <c r="O73" s="2">
        <v>100</v>
      </c>
      <c r="P73" s="9"/>
      <c r="Q73" s="2">
        <f>SUM(OSRRefD21_9_2x)+IFERROR(SUM(OSRRefE21_9_2x),0)</f>
        <v>7532.58</v>
      </c>
    </row>
    <row r="74" spans="1:17" s="34" customFormat="1" hidden="1" outlineLevel="1" x14ac:dyDescent="0.25">
      <c r="A74" s="35"/>
      <c r="B74" s="10" t="str">
        <f>CONCATENATE("          ","6245", " - ","PRINTING")</f>
        <v xml:space="preserve">          6245 - PRINTING</v>
      </c>
      <c r="C74" s="11"/>
      <c r="D74" s="2">
        <v>-1543.5</v>
      </c>
      <c r="E74" s="2">
        <v>1248</v>
      </c>
      <c r="F74" s="2">
        <v>288.3</v>
      </c>
      <c r="G74" s="2">
        <v>353.09</v>
      </c>
      <c r="H74" s="2">
        <v>93.72</v>
      </c>
      <c r="I74" s="2"/>
      <c r="J74" s="2"/>
      <c r="K74" s="2">
        <v>398.67</v>
      </c>
      <c r="L74" s="2">
        <v>447.27</v>
      </c>
      <c r="M74" s="2">
        <v>1766.38</v>
      </c>
      <c r="N74" s="2">
        <v>25</v>
      </c>
      <c r="O74" s="2">
        <v>25</v>
      </c>
      <c r="P74" s="9"/>
      <c r="Q74" s="2">
        <f>SUM(OSRRefD21_9_3x)+IFERROR(SUM(OSRRefE21_9_3x),0)</f>
        <v>3101.9300000000003</v>
      </c>
    </row>
    <row r="75" spans="1:17" s="34" customFormat="1" hidden="1" outlineLevel="1" x14ac:dyDescent="0.25">
      <c r="A75" s="35"/>
      <c r="B75" s="10" t="str">
        <f>CONCATENATE("          ","6247", " - ","STORE SUPPLIES")</f>
        <v xml:space="preserve">          6247 - STORE SUPPLIES</v>
      </c>
      <c r="C75" s="11"/>
      <c r="D75" s="2">
        <v>4300.3900000000003</v>
      </c>
      <c r="E75" s="2">
        <v>1490.53</v>
      </c>
      <c r="F75" s="2">
        <v>5799.11</v>
      </c>
      <c r="G75" s="2">
        <v>1094.1600000000001</v>
      </c>
      <c r="H75" s="2">
        <v>1159.74</v>
      </c>
      <c r="I75" s="2">
        <v>1532.52</v>
      </c>
      <c r="J75" s="2">
        <v>5187.7700000000004</v>
      </c>
      <c r="K75" s="2">
        <v>-2563.2199999999998</v>
      </c>
      <c r="L75" s="2">
        <v>1781.85</v>
      </c>
      <c r="M75" s="2">
        <v>1312.17</v>
      </c>
      <c r="N75" s="2">
        <v>25</v>
      </c>
      <c r="O75" s="2">
        <v>25</v>
      </c>
      <c r="P75" s="9"/>
      <c r="Q75" s="2">
        <f>SUM(OSRRefD21_9_4x)+IFERROR(SUM(OSRRefE21_9_4x),0)</f>
        <v>21145.019999999997</v>
      </c>
    </row>
    <row r="76" spans="1:17" s="34" customFormat="1" collapsed="1" x14ac:dyDescent="0.25">
      <c r="A76" s="35"/>
      <c r="B76" s="11" t="str">
        <f>CONCATENATE("     ","Telephone/Data Lines                              ")</f>
        <v xml:space="preserve">     Telephone/Data Lines                              </v>
      </c>
      <c r="C76" s="11"/>
      <c r="D76" s="1">
        <f>SUM(OSRRefD21_10x_0)</f>
        <v>200</v>
      </c>
      <c r="E76" s="1">
        <f>SUM(OSRRefD21_10x_1)</f>
        <v>200.75</v>
      </c>
      <c r="F76" s="1">
        <f>SUM(OSRRefD21_10x_2)</f>
        <v>265</v>
      </c>
      <c r="G76" s="1">
        <f>SUM(OSRRefD21_10x_3)</f>
        <v>193.4</v>
      </c>
      <c r="H76" s="1">
        <f>SUM(OSRRefD21_10x_4)</f>
        <v>214.55</v>
      </c>
      <c r="I76" s="1">
        <f>SUM(OSRRefD21_10x_5)</f>
        <v>183.3</v>
      </c>
      <c r="J76" s="1">
        <f>SUM(OSRRefD21_10x_6)</f>
        <v>82.2</v>
      </c>
      <c r="K76" s="1">
        <f>SUM(OSRRefD21_10x_7)</f>
        <v>82.1</v>
      </c>
      <c r="L76" s="1">
        <f>SUM(OSRRefD21_10x_8)</f>
        <v>82.1</v>
      </c>
      <c r="M76" s="1">
        <f>SUM(OSRRefD21_10x_9)</f>
        <v>82.1</v>
      </c>
      <c r="N76" s="1">
        <f>SUM(OSRRefE21_10x_0)</f>
        <v>165</v>
      </c>
      <c r="O76" s="1">
        <f>SUM(OSRRefE21_10x_1)</f>
        <v>165</v>
      </c>
      <c r="Q76" s="2">
        <f>SUM(OSRRefD20_10x)+IFERROR(SUM(OSRRefE20_10x),0)</f>
        <v>1915.4999999999998</v>
      </c>
    </row>
    <row r="77" spans="1:17" s="34" customFormat="1" hidden="1" outlineLevel="1" x14ac:dyDescent="0.25">
      <c r="A77" s="35"/>
      <c r="B77" s="10" t="str">
        <f>CONCATENATE("          ","6309", " - ","TELEPHONE")</f>
        <v xml:space="preserve">          6309 - TELEPHONE</v>
      </c>
      <c r="C77" s="11"/>
      <c r="D77" s="2">
        <v>200</v>
      </c>
      <c r="E77" s="2">
        <v>200.75</v>
      </c>
      <c r="F77" s="2">
        <v>265</v>
      </c>
      <c r="G77" s="2">
        <v>193.4</v>
      </c>
      <c r="H77" s="2">
        <v>214.55</v>
      </c>
      <c r="I77" s="2">
        <v>183.3</v>
      </c>
      <c r="J77" s="2">
        <v>82.2</v>
      </c>
      <c r="K77" s="2">
        <v>82.1</v>
      </c>
      <c r="L77" s="2">
        <v>82.1</v>
      </c>
      <c r="M77" s="2">
        <v>82.1</v>
      </c>
      <c r="N77" s="2">
        <v>165</v>
      </c>
      <c r="O77" s="2">
        <v>165</v>
      </c>
      <c r="P77" s="9"/>
      <c r="Q77" s="2">
        <f>SUM(OSRRefD21_10_0x)+IFERROR(SUM(OSRRefE21_10_0x),0)</f>
        <v>1915.4999999999998</v>
      </c>
    </row>
    <row r="78" spans="1:17" s="34" customFormat="1" collapsed="1" x14ac:dyDescent="0.25">
      <c r="A78" s="35"/>
      <c r="B78" s="11" t="str">
        <f>CONCATENATE("     ","Utilities                                         ")</f>
        <v xml:space="preserve">     Utilities                                         </v>
      </c>
      <c r="C78" s="11"/>
      <c r="D78" s="1">
        <f>SUM(OSRRefD21_11x_0)</f>
        <v>0</v>
      </c>
      <c r="E78" s="1">
        <f>SUM(OSRRefD21_11x_1)</f>
        <v>15.02</v>
      </c>
      <c r="F78" s="1">
        <f>SUM(OSRRefD21_11x_2)</f>
        <v>0</v>
      </c>
      <c r="G78" s="1">
        <f>SUM(OSRRefD21_11x_3)</f>
        <v>0</v>
      </c>
      <c r="H78" s="1">
        <f>SUM(OSRRefD21_11x_4)</f>
        <v>0</v>
      </c>
      <c r="I78" s="1">
        <f>SUM(OSRRefD21_11x_5)</f>
        <v>0</v>
      </c>
      <c r="J78" s="1">
        <f>SUM(OSRRefD21_11x_6)</f>
        <v>0</v>
      </c>
      <c r="K78" s="1">
        <f>SUM(OSRRefD21_11x_7)</f>
        <v>0</v>
      </c>
      <c r="L78" s="1">
        <f>SUM(OSRRefD21_11x_8)</f>
        <v>0</v>
      </c>
      <c r="M78" s="1">
        <f>SUM(OSRRefD21_11x_9)</f>
        <v>0</v>
      </c>
      <c r="N78" s="1">
        <f>SUM(OSRRefE21_11x_0)</f>
        <v>0</v>
      </c>
      <c r="O78" s="1">
        <f>SUM(OSRRefE21_11x_1)</f>
        <v>0</v>
      </c>
      <c r="Q78" s="2">
        <f>SUM(OSRRefD20_11x)+IFERROR(SUM(OSRRefE20_11x),0)</f>
        <v>15.02</v>
      </c>
    </row>
    <row r="79" spans="1:17" s="34" customFormat="1" hidden="1" outlineLevel="1" x14ac:dyDescent="0.25">
      <c r="A79" s="35"/>
      <c r="B79" s="10" t="str">
        <f>CONCATENATE("          ","6274", " - ","UTILITIES")</f>
        <v xml:space="preserve">          6274 - UTILITIES</v>
      </c>
      <c r="C79" s="11"/>
      <c r="D79" s="2"/>
      <c r="E79" s="2">
        <v>15.02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SUM(OSRRefD21_11_0x)+IFERROR(SUM(OSRRefE21_11_0x),0)</f>
        <v>15.02</v>
      </c>
    </row>
    <row r="80" spans="1:17" s="30" customFormat="1" x14ac:dyDescent="0.2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25">
      <c r="A81" s="23"/>
      <c r="B81" s="16" t="s">
        <v>291</v>
      </c>
      <c r="C81" s="22"/>
      <c r="D81" s="3">
        <f t="shared" ref="D81:M81" si="18">--6782</f>
        <v>6782</v>
      </c>
      <c r="E81" s="3">
        <f t="shared" si="18"/>
        <v>6782</v>
      </c>
      <c r="F81" s="3">
        <f t="shared" si="18"/>
        <v>6782</v>
      </c>
      <c r="G81" s="3">
        <f t="shared" si="18"/>
        <v>6782</v>
      </c>
      <c r="H81" s="3">
        <f t="shared" si="18"/>
        <v>6782</v>
      </c>
      <c r="I81" s="3">
        <f t="shared" si="18"/>
        <v>6782</v>
      </c>
      <c r="J81" s="3">
        <f t="shared" si="18"/>
        <v>6782</v>
      </c>
      <c r="K81" s="3">
        <f t="shared" si="18"/>
        <v>6782</v>
      </c>
      <c r="L81" s="3">
        <f t="shared" si="18"/>
        <v>6782</v>
      </c>
      <c r="M81" s="3">
        <f t="shared" si="18"/>
        <v>6782</v>
      </c>
      <c r="N81" s="3">
        <v>6875</v>
      </c>
      <c r="O81" s="3">
        <v>6875</v>
      </c>
      <c r="Q81" s="2">
        <f>SUM(OSRRefD23_0x)+IFERROR(SUM(OSRRefE23_0x),0)</f>
        <v>81570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6"/>
      <c r="B83" s="17" t="s">
        <v>274</v>
      </c>
      <c r="C83" s="17"/>
      <c r="D83" s="8">
        <f t="shared" ref="D83:O83" si="19">IFERROR(+D28-D31+D81, 0)</f>
        <v>-37524.080000000002</v>
      </c>
      <c r="E83" s="8">
        <f t="shared" si="19"/>
        <v>104716.88</v>
      </c>
      <c r="F83" s="8">
        <f t="shared" si="19"/>
        <v>-22426.079999999994</v>
      </c>
      <c r="G83" s="8">
        <f t="shared" si="19"/>
        <v>-66669.39999999998</v>
      </c>
      <c r="H83" s="8">
        <f t="shared" si="19"/>
        <v>-30800.15</v>
      </c>
      <c r="I83" s="8">
        <f t="shared" si="19"/>
        <v>-23899.910000000003</v>
      </c>
      <c r="J83" s="8">
        <f t="shared" si="19"/>
        <v>18251.209999999992</v>
      </c>
      <c r="K83" s="8">
        <f t="shared" si="19"/>
        <v>-16368.849999999995</v>
      </c>
      <c r="L83" s="8">
        <f t="shared" si="19"/>
        <v>-10511.499999999996</v>
      </c>
      <c r="M83" s="8">
        <f t="shared" si="19"/>
        <v>-4810.41</v>
      </c>
      <c r="N83" s="8">
        <f t="shared" si="19"/>
        <v>-14160.593557961554</v>
      </c>
      <c r="O83" s="8">
        <f t="shared" si="19"/>
        <v>-17803.373827961554</v>
      </c>
      <c r="Q83" s="8">
        <f>IFERROR(+Q28-Q31+Q81, 0)</f>
        <v>-122006.25738592312</v>
      </c>
    </row>
    <row r="84" spans="1:17" s="6" customFormat="1" x14ac:dyDescent="0.25">
      <c r="B84" s="16"/>
      <c r="C84" s="16"/>
      <c r="D84" s="4">
        <f t="shared" ref="D84:O84" si="20">IFERROR(D83/D10, 0)</f>
        <v>-7.7403230697192793</v>
      </c>
      <c r="E84" s="4">
        <f t="shared" si="20"/>
        <v>2.2034400528403699</v>
      </c>
      <c r="F84" s="4">
        <f t="shared" si="20"/>
        <v>-2.4630618915404341</v>
      </c>
      <c r="G84" s="4">
        <f t="shared" si="20"/>
        <v>-6.3507307645045534</v>
      </c>
      <c r="H84" s="4">
        <f t="shared" si="20"/>
        <v>-19.275392702922584</v>
      </c>
      <c r="I84" s="4">
        <f t="shared" si="20"/>
        <v>-19.016327050230345</v>
      </c>
      <c r="J84" s="4">
        <f t="shared" si="20"/>
        <v>0.61708484776765316</v>
      </c>
      <c r="K84" s="4">
        <f t="shared" si="20"/>
        <v>-3.6851756378593388</v>
      </c>
      <c r="L84" s="4">
        <f t="shared" si="20"/>
        <v>-4.8959012575686991</v>
      </c>
      <c r="M84" s="4">
        <f t="shared" si="20"/>
        <v>-1.2992504962929952</v>
      </c>
      <c r="N84" s="4">
        <f t="shared" si="20"/>
        <v>-4.4251854868629854</v>
      </c>
      <c r="O84" s="4">
        <f t="shared" si="20"/>
        <v>-10.472572839977385</v>
      </c>
      <c r="P84" s="18"/>
      <c r="Q84" s="4">
        <f>IFERROR(Q83/Q10, 0)</f>
        <v>-1.0201407035158527</v>
      </c>
    </row>
    <row r="85" spans="1:17" x14ac:dyDescent="0.2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25"/>
      <c r="B86" s="6" t="s">
        <v>125</v>
      </c>
      <c r="C86" s="6"/>
      <c r="D86" s="3">
        <v>2331.5700000000002</v>
      </c>
      <c r="E86" s="3">
        <v>6510.77</v>
      </c>
      <c r="F86" s="3">
        <v>2546.6</v>
      </c>
      <c r="G86" s="3">
        <v>4202.3999999999996</v>
      </c>
      <c r="H86" s="3">
        <v>-3900.6</v>
      </c>
      <c r="I86" s="3">
        <v>2154.34</v>
      </c>
      <c r="J86" s="3">
        <v>5107.41</v>
      </c>
      <c r="K86" s="3">
        <v>2603.31</v>
      </c>
      <c r="L86" s="3">
        <v>1319.33</v>
      </c>
      <c r="M86" s="3">
        <v>1120.05</v>
      </c>
      <c r="N86" s="3">
        <v>2038</v>
      </c>
      <c r="O86" s="3">
        <v>1209</v>
      </c>
      <c r="Q86" s="2">
        <f>SUM(OSRRefD28_0x)+IFERROR(SUM(OSRRefE28_0x),0)</f>
        <v>27242.179999999997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.75" thickBot="1" x14ac:dyDescent="0.3">
      <c r="A88" s="6"/>
      <c r="B88" s="17" t="s">
        <v>124</v>
      </c>
      <c r="C88" s="17"/>
      <c r="D88" s="7">
        <f t="shared" ref="D88:O88" si="21">IFERROR(+D83-D86, 0)</f>
        <v>-39855.65</v>
      </c>
      <c r="E88" s="7">
        <f t="shared" si="21"/>
        <v>98206.11</v>
      </c>
      <c r="F88" s="7">
        <f t="shared" si="21"/>
        <v>-24972.679999999993</v>
      </c>
      <c r="G88" s="7">
        <f t="shared" si="21"/>
        <v>-70871.799999999974</v>
      </c>
      <c r="H88" s="7">
        <f t="shared" si="21"/>
        <v>-26899.550000000003</v>
      </c>
      <c r="I88" s="7">
        <f t="shared" si="21"/>
        <v>-26054.250000000004</v>
      </c>
      <c r="J88" s="7">
        <f t="shared" si="21"/>
        <v>13143.799999999992</v>
      </c>
      <c r="K88" s="7">
        <f t="shared" si="21"/>
        <v>-18972.159999999996</v>
      </c>
      <c r="L88" s="7">
        <f t="shared" si="21"/>
        <v>-11830.829999999996</v>
      </c>
      <c r="M88" s="7">
        <f t="shared" si="21"/>
        <v>-5930.46</v>
      </c>
      <c r="N88" s="7">
        <f t="shared" si="21"/>
        <v>-16198.593557961554</v>
      </c>
      <c r="O88" s="7">
        <f t="shared" si="21"/>
        <v>-19012.373827961554</v>
      </c>
      <c r="Q88" s="7">
        <f>IFERROR(+Q83-Q86, 0)</f>
        <v>-149248.43738592311</v>
      </c>
    </row>
    <row r="89" spans="1:17" ht="15.75" thickTop="1" x14ac:dyDescent="0.25">
      <c r="A89" s="5"/>
      <c r="B89" s="5"/>
      <c r="C89" s="5"/>
      <c r="D89" s="4">
        <f t="shared" ref="D89:O89" si="22">IFERROR(D88/D10, 0)</f>
        <v>-8.2212703723490943</v>
      </c>
      <c r="E89" s="4">
        <f t="shared" si="22"/>
        <v>2.0664412099333669</v>
      </c>
      <c r="F89" s="4">
        <f t="shared" si="22"/>
        <v>-2.7427555969493542</v>
      </c>
      <c r="G89" s="4">
        <f t="shared" si="22"/>
        <v>-6.7510390163375362</v>
      </c>
      <c r="H89" s="4">
        <f t="shared" si="22"/>
        <v>-16.834313786845236</v>
      </c>
      <c r="I89" s="4">
        <f t="shared" si="22"/>
        <v>-20.730460451460445</v>
      </c>
      <c r="J89" s="4">
        <f t="shared" si="22"/>
        <v>0.44440011495613052</v>
      </c>
      <c r="K89" s="4">
        <f t="shared" si="22"/>
        <v>-4.2712677939848822</v>
      </c>
      <c r="L89" s="4">
        <f t="shared" si="22"/>
        <v>-5.5104005589194207</v>
      </c>
      <c r="M89" s="4">
        <f t="shared" si="22"/>
        <v>-1.601766397925698</v>
      </c>
      <c r="N89" s="4">
        <f t="shared" si="22"/>
        <v>-5.0620604868629862</v>
      </c>
      <c r="O89" s="4">
        <f t="shared" si="22"/>
        <v>-11.18374931056562</v>
      </c>
      <c r="P89" s="18"/>
      <c r="Q89" s="4">
        <f>IFERROR(Q88/Q10, 0)</f>
        <v>-1.2479229276898067</v>
      </c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292</v>
      </c>
      <c r="C92" s="17"/>
      <c r="D92" s="7">
        <f t="shared" ref="D92:O92" si="23">IFERROR(SUM(D88:D91), 0)</f>
        <v>-39863.87127037235</v>
      </c>
      <c r="E92" s="7">
        <f t="shared" si="23"/>
        <v>98208.176441209929</v>
      </c>
      <c r="F92" s="7">
        <f t="shared" si="23"/>
        <v>-24975.422755596941</v>
      </c>
      <c r="G92" s="7">
        <f t="shared" si="23"/>
        <v>-70878.551039016311</v>
      </c>
      <c r="H92" s="7">
        <f t="shared" si="23"/>
        <v>-26916.38431378685</v>
      </c>
      <c r="I92" s="7">
        <f t="shared" si="23"/>
        <v>-26074.980460451465</v>
      </c>
      <c r="J92" s="7">
        <f t="shared" si="23"/>
        <v>13144.244400114949</v>
      </c>
      <c r="K92" s="7">
        <f t="shared" si="23"/>
        <v>-18976.431267793982</v>
      </c>
      <c r="L92" s="7">
        <f t="shared" si="23"/>
        <v>-11836.340400558916</v>
      </c>
      <c r="M92" s="7">
        <f t="shared" si="23"/>
        <v>-5932.0617663979256</v>
      </c>
      <c r="N92" s="7">
        <f t="shared" si="23"/>
        <v>-16203.655618448418</v>
      </c>
      <c r="O92" s="7">
        <f t="shared" si="23"/>
        <v>-19023.55757727212</v>
      </c>
      <c r="Q92" s="7">
        <f>IFERROR(SUM(Q88:Q91), 0)</f>
        <v>-149249.68530885081</v>
      </c>
    </row>
    <row r="93" spans="1:17" ht="15.75" thickTop="1" x14ac:dyDescent="0.25">
      <c r="A93" s="5"/>
      <c r="C93" s="5"/>
      <c r="D93" s="4">
        <f t="shared" ref="D93:O93" si="24">IFERROR(D92/D10, 0)</f>
        <v>-8.2229662244186308</v>
      </c>
      <c r="E93" s="4">
        <f t="shared" si="24"/>
        <v>2.0664846917419233</v>
      </c>
      <c r="F93" s="4">
        <f t="shared" si="24"/>
        <v>-2.743056834472303</v>
      </c>
      <c r="G93" s="4">
        <f t="shared" si="24"/>
        <v>-6.75168210043869</v>
      </c>
      <c r="H93" s="4">
        <f t="shared" si="24"/>
        <v>-16.844849060508697</v>
      </c>
      <c r="I93" s="4">
        <f t="shared" si="24"/>
        <v>-20.746954957751338</v>
      </c>
      <c r="J93" s="4">
        <f t="shared" si="24"/>
        <v>0.44441514040251384</v>
      </c>
      <c r="K93" s="4">
        <f t="shared" si="24"/>
        <v>-4.2722293992300377</v>
      </c>
      <c r="L93" s="4">
        <f t="shared" si="24"/>
        <v>-5.5129671171676371</v>
      </c>
      <c r="M93" s="4">
        <f t="shared" si="24"/>
        <v>-1.6021990212961488</v>
      </c>
      <c r="N93" s="4">
        <f t="shared" si="24"/>
        <v>-5.0636423807651303</v>
      </c>
      <c r="O93" s="4">
        <f t="shared" si="24"/>
        <v>-11.19032798663066</v>
      </c>
      <c r="P93" s="18"/>
      <c r="Q93" s="4">
        <f>IFERROR(Q92/Q10, 0)</f>
        <v>-1.2479333620478525</v>
      </c>
    </row>
    <row r="94" spans="1:17" x14ac:dyDescent="0.25">
      <c r="A94" s="5"/>
      <c r="B94" s="27">
        <v>44330.012670983793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31" t="s">
        <v>54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6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4:17" x14ac:dyDescent="0.25"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SUM(OSRRefE11x_0)</f>
        <v>3200</v>
      </c>
      <c r="O10" s="3">
        <f>SUM(OSRRefE11x_1)</f>
        <v>1700</v>
      </c>
      <c r="P10" s="24"/>
      <c r="Q10" s="3">
        <f>SUM(OSRRefG11x)</f>
        <v>119597.48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v>3000</v>
      </c>
      <c r="O11" s="2">
        <v>1500</v>
      </c>
      <c r="Q11" s="2">
        <f>SUM(OSRRefD11_0x)+IFERROR(SUM(OSRRefE11_0x),0)</f>
        <v>4490.72</v>
      </c>
    </row>
    <row r="12" spans="1:18" s="9" customFormat="1" hidden="1" outlineLevel="1" x14ac:dyDescent="0.25">
      <c r="A12" s="23"/>
      <c r="B12" s="10" t="str">
        <f>CONCATENATE("          ","4041", " - ","TAXABLE SALES-LOGO GIFTS")</f>
        <v xml:space="preserve">          4041 - TAXABLE SALES-LOGO GIFTS</v>
      </c>
      <c r="C12" s="22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/>
      <c r="O12" s="2"/>
      <c r="Q12" s="2">
        <f>SUM(OSRRefD11_1x)+IFERROR(SUM(OSRRefE11_1x),0)</f>
        <v>92920.17</v>
      </c>
    </row>
    <row r="13" spans="1:18" s="9" customFormat="1" hidden="1" outlineLevel="1" x14ac:dyDescent="0.25">
      <c r="A13" s="23"/>
      <c r="B13" s="10" t="str">
        <f>CONCATENATE("          ","4042", " - ","TAXABLE SALES-EVERYDAY GIFTS")</f>
        <v xml:space="preserve">          4042 - TAXABLE SALES-EVERYDAY GIFTS</v>
      </c>
      <c r="C13" s="22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/>
      <c r="O13" s="2"/>
      <c r="Q13" s="2">
        <f>SUM(OSRRefD11_2x)+IFERROR(SUM(OSRRefE11_2x),0)</f>
        <v>17099.84</v>
      </c>
    </row>
    <row r="14" spans="1:18" s="9" customFormat="1" hidden="1" outlineLevel="1" x14ac:dyDescent="0.25">
      <c r="A14" s="23"/>
      <c r="B14" s="10" t="str">
        <f>CONCATENATE("          ","4043", " - ","TAXABLE SALES-CARDS")</f>
        <v xml:space="preserve">          4043 - TAXABLE SALES-CARDS</v>
      </c>
      <c r="C14" s="22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/>
      <c r="O14" s="2"/>
      <c r="Q14" s="2">
        <f>SUM(OSRRefD11_3x)+IFERROR(SUM(OSRRefE11_3x),0)</f>
        <v>52.68</v>
      </c>
    </row>
    <row r="15" spans="1:18" s="9" customFormat="1" hidden="1" outlineLevel="1" x14ac:dyDescent="0.25">
      <c r="A15" s="23"/>
      <c r="B15" s="10" t="str">
        <f>CONCATENATE("          ","4095", " - ","TAXABLE SALES-CUSTOMER SERVICE")</f>
        <v xml:space="preserve">          4095 - TAXABLE SALES-CUSTOMER SERVICE</v>
      </c>
      <c r="C15" s="22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/>
      <c r="O15" s="2"/>
      <c r="Q15" s="2">
        <f>SUM(OSRRefD11_4x)+IFERROR(SUM(OSRRefE11_4x),0)</f>
        <v>3034.59</v>
      </c>
    </row>
    <row r="16" spans="1:18" s="9" customFormat="1" hidden="1" outlineLevel="1" x14ac:dyDescent="0.25">
      <c r="A16" s="23"/>
      <c r="B16" s="10" t="str">
        <f>CONCATENATE("          ","4100", " - ","NON-TAXABLE SALES")</f>
        <v xml:space="preserve">          4100 - NON-TAXABLE SALES</v>
      </c>
      <c r="C16" s="22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M16" si="6">0</f>
        <v>0</v>
      </c>
      <c r="L16" s="2">
        <f t="shared" si="6"/>
        <v>0</v>
      </c>
      <c r="M16" s="2">
        <f t="shared" si="6"/>
        <v>0</v>
      </c>
      <c r="N16" s="2">
        <v>200</v>
      </c>
      <c r="O16" s="2">
        <v>200</v>
      </c>
      <c r="Q16" s="2">
        <f>SUM(OSRRefD11_5x)+IFERROR(SUM(OSRRefE11_5x),0)</f>
        <v>400</v>
      </c>
    </row>
    <row r="17" spans="1:17" s="9" customFormat="1" hidden="1" outlineLevel="1" x14ac:dyDescent="0.25">
      <c r="A17" s="23"/>
      <c r="B17" s="10" t="str">
        <f>CONCATENATE("          ","4141", " - ","NON-TAXABLE SALES-LOGO GIFTS")</f>
        <v xml:space="preserve">          4141 - NON-TAXABLE SALES-LOGO GIFTS</v>
      </c>
      <c r="C17" s="22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>
        <f>--0.6</f>
        <v>0.6</v>
      </c>
      <c r="N17" s="2"/>
      <c r="O17" s="2"/>
      <c r="Q17" s="2">
        <f>SUM(OSRRefD11_6x)+IFERROR(SUM(OSRRefE11_6x),0)</f>
        <v>1279.24</v>
      </c>
    </row>
    <row r="18" spans="1:17" s="9" customFormat="1" hidden="1" outlineLevel="1" x14ac:dyDescent="0.25">
      <c r="A18" s="23"/>
      <c r="B18" s="10" t="str">
        <f>CONCATENATE("          ","4142", " - ","NON-TAXABLE SALES-EVERYDAY GIF")</f>
        <v xml:space="preserve">          4142 - NON-TAXABLE SALES-EVERYDAY GIF</v>
      </c>
      <c r="C18" s="22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>
        <f>--22.1</f>
        <v>22.1</v>
      </c>
      <c r="N18" s="2"/>
      <c r="O18" s="2"/>
      <c r="Q18" s="2">
        <f>SUM(OSRRefD11_7x)+IFERROR(SUM(OSRRefE11_7x),0)</f>
        <v>1132.6899999999998</v>
      </c>
    </row>
    <row r="19" spans="1:17" s="9" customFormat="1" hidden="1" outlineLevel="1" x14ac:dyDescent="0.25">
      <c r="A19" s="23"/>
      <c r="B19" s="10" t="str">
        <f>CONCATENATE("          ","4146", " - ","NON-TAXABLE SALES-COIN OP MACH")</f>
        <v xml:space="preserve">          4146 - NON-TAXABLE SALES-COIN OP MACH</v>
      </c>
      <c r="C19" s="22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>
        <f>--30.2</f>
        <v>30.2</v>
      </c>
      <c r="N19" s="2"/>
      <c r="O19" s="2"/>
      <c r="Q19" s="2">
        <f>SUM(OSRRefD11_8x)+IFERROR(SUM(OSRRefE11_8x),0)</f>
        <v>329.29999999999995</v>
      </c>
    </row>
    <row r="20" spans="1:17" s="9" customFormat="1" hidden="1" outlineLevel="1" x14ac:dyDescent="0.25">
      <c r="A20" s="23"/>
      <c r="B20" s="10" t="str">
        <f>CONCATENATE("          ","4147", " - ","NON-TAXABLE SALES-MISC")</f>
        <v xml:space="preserve">          4147 - NON-TAXABLE SALES-MISC</v>
      </c>
      <c r="C20" s="22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 t="shared" ref="L20:M20" si="11">--11</f>
        <v>11</v>
      </c>
      <c r="M20" s="2">
        <f t="shared" si="11"/>
        <v>11</v>
      </c>
      <c r="N20" s="2"/>
      <c r="O20" s="2"/>
      <c r="Q20" s="2">
        <f>SUM(OSRRefD11_9x)+IFERROR(SUM(OSRRefE11_9x),0)</f>
        <v>154.5</v>
      </c>
    </row>
    <row r="21" spans="1:17" s="9" customFormat="1" hidden="1" outlineLevel="1" x14ac:dyDescent="0.25">
      <c r="A21" s="23"/>
      <c r="B21" s="10" t="str">
        <f>CONCATENATE("          ","4241", " - ","SALES RETURN TAXABLE-LOGO GIFT")</f>
        <v xml:space="preserve">          4241 - SALES RETURN TAXABLE-LOGO GIFT</v>
      </c>
      <c r="C21" s="22"/>
      <c r="D21" s="2">
        <f t="shared" ref="D21:D22" si="12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3">0</f>
        <v>0</v>
      </c>
      <c r="L21" s="2">
        <f>-7.95</f>
        <v>-7.95</v>
      </c>
      <c r="M21" s="2">
        <f>-23</f>
        <v>-23</v>
      </c>
      <c r="N21" s="2"/>
      <c r="O21" s="2"/>
      <c r="Q21" s="2">
        <f>SUM(OSRRefD11_10x)+IFERROR(SUM(OSRRefE11_10x),0)</f>
        <v>-1285.05</v>
      </c>
    </row>
    <row r="22" spans="1:17" s="9" customFormat="1" hidden="1" outlineLevel="1" x14ac:dyDescent="0.25">
      <c r="A22" s="23"/>
      <c r="B22" s="10" t="str">
        <f>CONCATENATE("          ","4341", " - ","SALES RETURN NON TAXABLE-LOGO")</f>
        <v xml:space="preserve">          4341 - SALES RETURN NON TAXABLE-LOGO</v>
      </c>
      <c r="C22" s="22"/>
      <c r="D22" s="2">
        <f t="shared" si="12"/>
        <v>0</v>
      </c>
      <c r="E22" s="2">
        <f t="shared" ref="E22:I22" si="14">0</f>
        <v>0</v>
      </c>
      <c r="F22" s="2">
        <f t="shared" si="14"/>
        <v>0</v>
      </c>
      <c r="G22" s="2">
        <f t="shared" si="14"/>
        <v>0</v>
      </c>
      <c r="H22" s="2">
        <f t="shared" si="14"/>
        <v>0</v>
      </c>
      <c r="I22" s="2">
        <f t="shared" si="14"/>
        <v>0</v>
      </c>
      <c r="J22" s="2">
        <f>-11.2</f>
        <v>-11.2</v>
      </c>
      <c r="K22" s="2">
        <f t="shared" si="13"/>
        <v>0</v>
      </c>
      <c r="L22" s="2">
        <f t="shared" ref="L22:M22" si="15">0</f>
        <v>0</v>
      </c>
      <c r="M22" s="2">
        <f t="shared" si="15"/>
        <v>0</v>
      </c>
      <c r="N22" s="2"/>
      <c r="O22" s="2"/>
      <c r="Q22" s="2">
        <f>SUM(OSRRefD11_11x)+IFERROR(SUM(OSRRefE11_11x),0)</f>
        <v>-11.2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x14ac:dyDescent="0.25">
      <c r="A24" s="23"/>
      <c r="B24" s="16" t="s">
        <v>217</v>
      </c>
      <c r="C24" s="22"/>
      <c r="D24" s="3">
        <f t="shared" ref="D24:O24" si="16">SUM(0)</f>
        <v>0</v>
      </c>
      <c r="E24" s="3">
        <f t="shared" si="16"/>
        <v>0</v>
      </c>
      <c r="F24" s="3">
        <f t="shared" si="16"/>
        <v>0</v>
      </c>
      <c r="G24" s="3">
        <f t="shared" si="16"/>
        <v>0</v>
      </c>
      <c r="H24" s="3">
        <f t="shared" si="16"/>
        <v>0</v>
      </c>
      <c r="I24" s="3">
        <f t="shared" si="16"/>
        <v>0</v>
      </c>
      <c r="J24" s="3">
        <f t="shared" si="16"/>
        <v>0</v>
      </c>
      <c r="K24" s="3">
        <f t="shared" si="16"/>
        <v>0</v>
      </c>
      <c r="L24" s="3">
        <f t="shared" si="16"/>
        <v>0</v>
      </c>
      <c r="M24" s="3">
        <f t="shared" si="16"/>
        <v>0</v>
      </c>
      <c r="N24" s="3">
        <f t="shared" si="16"/>
        <v>0</v>
      </c>
      <c r="O24" s="3">
        <f t="shared" si="16"/>
        <v>0</v>
      </c>
      <c r="Q24" s="3">
        <f>SUM(0)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6"/>
      <c r="B26" s="17" t="s">
        <v>105</v>
      </c>
      <c r="C26" s="17"/>
      <c r="D26" s="8">
        <f t="shared" ref="D26:O26" si="17">IFERROR(+D10-D24, 0)</f>
        <v>4847.87</v>
      </c>
      <c r="E26" s="8">
        <f t="shared" si="17"/>
        <v>47524.27</v>
      </c>
      <c r="F26" s="8">
        <f t="shared" si="17"/>
        <v>9104.9600000000009</v>
      </c>
      <c r="G26" s="8">
        <f t="shared" si="17"/>
        <v>10497.909999999998</v>
      </c>
      <c r="H26" s="8">
        <f t="shared" si="17"/>
        <v>1597.9</v>
      </c>
      <c r="I26" s="8">
        <f t="shared" si="17"/>
        <v>1256.8100000000002</v>
      </c>
      <c r="J26" s="8">
        <f t="shared" si="17"/>
        <v>29576.499999999996</v>
      </c>
      <c r="K26" s="8">
        <f t="shared" si="17"/>
        <v>4441.8100000000013</v>
      </c>
      <c r="L26" s="8">
        <f t="shared" si="17"/>
        <v>2147</v>
      </c>
      <c r="M26" s="8">
        <f t="shared" si="17"/>
        <v>3702.45</v>
      </c>
      <c r="N26" s="8">
        <f t="shared" si="17"/>
        <v>3200</v>
      </c>
      <c r="O26" s="8">
        <f t="shared" si="17"/>
        <v>1700</v>
      </c>
      <c r="Q26" s="8">
        <f>IFERROR(+Q10-Q24, 0)</f>
        <v>119597.48</v>
      </c>
    </row>
    <row r="27" spans="1:17" s="6" customFormat="1" x14ac:dyDescent="0.25">
      <c r="B27" s="16"/>
      <c r="C27" s="16"/>
      <c r="D27" s="4">
        <f t="shared" ref="D27:O27" si="18">IFERROR(D26/D10, 0)</f>
        <v>1</v>
      </c>
      <c r="E27" s="4">
        <f t="shared" si="18"/>
        <v>1</v>
      </c>
      <c r="F27" s="4">
        <f t="shared" si="18"/>
        <v>1</v>
      </c>
      <c r="G27" s="4">
        <f t="shared" si="18"/>
        <v>1</v>
      </c>
      <c r="H27" s="4">
        <f t="shared" si="18"/>
        <v>1</v>
      </c>
      <c r="I27" s="4">
        <f t="shared" si="18"/>
        <v>1</v>
      </c>
      <c r="J27" s="4">
        <f t="shared" si="18"/>
        <v>1</v>
      </c>
      <c r="K27" s="4">
        <f t="shared" si="18"/>
        <v>1</v>
      </c>
      <c r="L27" s="4">
        <f t="shared" si="18"/>
        <v>1</v>
      </c>
      <c r="M27" s="4">
        <f t="shared" si="18"/>
        <v>1</v>
      </c>
      <c r="N27" s="4">
        <f t="shared" si="18"/>
        <v>1</v>
      </c>
      <c r="O27" s="4">
        <f t="shared" si="18"/>
        <v>1</v>
      </c>
      <c r="P27" s="18"/>
      <c r="Q27" s="4">
        <f>IFERROR(Q26/Q10, 0)</f>
        <v>1</v>
      </c>
    </row>
    <row r="28" spans="1:17" x14ac:dyDescent="0.25">
      <c r="A28" s="5"/>
      <c r="B28" s="6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5" customFormat="1" x14ac:dyDescent="0.25">
      <c r="A29" s="6"/>
      <c r="B29" s="16" t="s">
        <v>254</v>
      </c>
      <c r="C29" s="6"/>
      <c r="D29" s="14">
        <f>SUM(OSRRefD20x_0)</f>
        <v>49153.950000000004</v>
      </c>
      <c r="E29" s="14">
        <f>SUM(OSRRefD20x_1)</f>
        <v>-50410.610000000015</v>
      </c>
      <c r="F29" s="14">
        <f>SUM(OSRRefD20x_2)</f>
        <v>38313.039999999994</v>
      </c>
      <c r="G29" s="14">
        <f>SUM(OSRRefD20x_3)</f>
        <v>83949.309999999983</v>
      </c>
      <c r="H29" s="14">
        <f>SUM(OSRRefD20x_4)</f>
        <v>39180.050000000003</v>
      </c>
      <c r="I29" s="14">
        <f>SUM(OSRRefD20x_5)</f>
        <v>31938.720000000005</v>
      </c>
      <c r="J29" s="14">
        <f>SUM(OSRRefD20x_6)</f>
        <v>18107.290000000005</v>
      </c>
      <c r="K29" s="14">
        <f>SUM(OSRRefD20x_7)</f>
        <v>27592.659999999996</v>
      </c>
      <c r="L29" s="14">
        <f>SUM(OSRRefD20x_8)</f>
        <v>19440.499999999996</v>
      </c>
      <c r="M29" s="14">
        <f>SUM(OSRRefD20x_9)</f>
        <v>15294.86</v>
      </c>
      <c r="N29" s="14">
        <f>SUM(OSRRefE20x_0)</f>
        <v>24235.593557961554</v>
      </c>
      <c r="O29" s="14">
        <f>SUM(OSRRefE20x_1)</f>
        <v>26378.373827961554</v>
      </c>
      <c r="Q29" s="14">
        <f>SUM(OSRRefG20x)</f>
        <v>323173.7373859231</v>
      </c>
    </row>
    <row r="30" spans="1:17" s="34" customFormat="1" collapsed="1" x14ac:dyDescent="0.25">
      <c r="A30" s="35"/>
      <c r="B30" s="11" t="str">
        <f>CONCATENATE("     ","*Benefits                                         ")</f>
        <v xml:space="preserve">     *Benefits                                         </v>
      </c>
      <c r="C30" s="11"/>
      <c r="D30" s="1">
        <f>SUM(OSRRefD21_0x_0)</f>
        <v>7930.28</v>
      </c>
      <c r="E30" s="1">
        <f>SUM(OSRRefD21_0x_1)</f>
        <v>8903.2699999999986</v>
      </c>
      <c r="F30" s="1">
        <f>SUM(OSRRefD21_0x_2)</f>
        <v>9025.3599999999988</v>
      </c>
      <c r="G30" s="1">
        <f>SUM(OSRRefD21_0x_3)</f>
        <v>10414.129999999999</v>
      </c>
      <c r="H30" s="1">
        <f>SUM(OSRRefD21_0x_4)</f>
        <v>9539.5300000000007</v>
      </c>
      <c r="I30" s="1">
        <f>SUM(OSRRefD21_0x_5)</f>
        <v>8896.2999999999993</v>
      </c>
      <c r="J30" s="1">
        <f>SUM(OSRRefD21_0x_6)</f>
        <v>11976.35</v>
      </c>
      <c r="K30" s="1">
        <f>SUM(OSRRefD21_0x_7)</f>
        <v>8802.75</v>
      </c>
      <c r="L30" s="1">
        <f>SUM(OSRRefD21_0x_8)</f>
        <v>8898.1500000000015</v>
      </c>
      <c r="M30" s="1">
        <f>SUM(OSRRefD21_0x_9)</f>
        <v>10512.210000000001</v>
      </c>
      <c r="N30" s="1">
        <f>SUM(OSRRefE21_0x_0)</f>
        <v>7973.3758733461527</v>
      </c>
      <c r="O30" s="1">
        <f>SUM(OSRRefE21_0x_1)</f>
        <v>8016.1561433461529</v>
      </c>
      <c r="Q30" s="2">
        <f>SUM(OSRRefD20_0x)+IFERROR(SUM(OSRRefE20_0x),0)</f>
        <v>110887.86201669231</v>
      </c>
    </row>
    <row r="31" spans="1:17" s="34" customFormat="1" hidden="1" outlineLevel="1" x14ac:dyDescent="0.25">
      <c r="A31" s="35"/>
      <c r="B31" s="10" t="str">
        <f>CONCATENATE("          ","6111", " - ","F.I.C.A.")</f>
        <v xml:space="preserve">          6111 - F.I.C.A.</v>
      </c>
      <c r="C31" s="11"/>
      <c r="D31" s="2">
        <v>1043.3599999999999</v>
      </c>
      <c r="E31" s="2">
        <v>1290.1199999999999</v>
      </c>
      <c r="F31" s="2">
        <v>1220.78</v>
      </c>
      <c r="G31" s="2">
        <v>2004</v>
      </c>
      <c r="H31" s="2">
        <v>1062.21</v>
      </c>
      <c r="I31" s="2">
        <v>1206.3</v>
      </c>
      <c r="J31" s="2">
        <v>1213.6400000000001</v>
      </c>
      <c r="K31" s="2">
        <v>1213.6400000000001</v>
      </c>
      <c r="L31" s="2">
        <v>1213.6400000000001</v>
      </c>
      <c r="M31" s="2">
        <v>1823.33</v>
      </c>
      <c r="N31" s="2">
        <v>1234.38445373077</v>
      </c>
      <c r="O31" s="2">
        <v>1277.16472373077</v>
      </c>
      <c r="P31" s="9"/>
      <c r="Q31" s="2">
        <f>SUM(OSRRefD21_0_0x)+IFERROR(SUM(OSRRefE21_0_0x),0)</f>
        <v>15802.569177461539</v>
      </c>
    </row>
    <row r="32" spans="1:17" s="34" customFormat="1" hidden="1" outlineLevel="1" x14ac:dyDescent="0.25">
      <c r="A32" s="35"/>
      <c r="B32" s="10" t="str">
        <f>CONCATENATE("          ","6112", " - ","COMPENSATION INSURANCE")</f>
        <v xml:space="preserve">          6112 - COMPENSATION INSURANCE</v>
      </c>
      <c r="C32" s="11"/>
      <c r="D32" s="2">
        <v>293.61</v>
      </c>
      <c r="E32" s="2">
        <v>311.95999999999998</v>
      </c>
      <c r="F32" s="2">
        <v>316.77</v>
      </c>
      <c r="G32" s="2">
        <v>308.31</v>
      </c>
      <c r="H32" s="2">
        <v>556.65</v>
      </c>
      <c r="I32" s="2">
        <v>556.65</v>
      </c>
      <c r="J32" s="2">
        <v>61.08</v>
      </c>
      <c r="K32" s="2">
        <v>313.57</v>
      </c>
      <c r="L32" s="2">
        <v>311.66000000000003</v>
      </c>
      <c r="M32" s="2">
        <v>306.89</v>
      </c>
      <c r="N32" s="2">
        <v>308.73575576923099</v>
      </c>
      <c r="O32" s="2">
        <v>308.73575576923099</v>
      </c>
      <c r="P32" s="9"/>
      <c r="Q32" s="2">
        <f>SUM(OSRRefD21_0_1x)+IFERROR(SUM(OSRRefE21_0_1x),0)</f>
        <v>3954.6215115384616</v>
      </c>
    </row>
    <row r="33" spans="1:17" s="34" customFormat="1" hidden="1" outlineLevel="1" x14ac:dyDescent="0.25">
      <c r="A33" s="35"/>
      <c r="B33" s="10" t="str">
        <f>CONCATENATE("          ","6113", " - ","GROUP INSURANCE")</f>
        <v xml:space="preserve">          6113 - GROUP INSURANCE</v>
      </c>
      <c r="C33" s="11"/>
      <c r="D33" s="2">
        <v>2724.48</v>
      </c>
      <c r="E33" s="2">
        <v>3321.73</v>
      </c>
      <c r="F33" s="2">
        <v>3423.78</v>
      </c>
      <c r="G33" s="2">
        <v>3423.78</v>
      </c>
      <c r="H33" s="2">
        <v>3423.78</v>
      </c>
      <c r="I33" s="2">
        <v>3423.78</v>
      </c>
      <c r="J33" s="2">
        <v>6051.48</v>
      </c>
      <c r="K33" s="2">
        <v>3421.48</v>
      </c>
      <c r="L33" s="2">
        <v>3421.48</v>
      </c>
      <c r="M33" s="2">
        <v>3421.48</v>
      </c>
      <c r="N33" s="2">
        <v>3310</v>
      </c>
      <c r="O33" s="2">
        <v>3310</v>
      </c>
      <c r="P33" s="9"/>
      <c r="Q33" s="2">
        <f>SUM(OSRRefD21_0_2x)+IFERROR(SUM(OSRRefE21_0_2x),0)</f>
        <v>42677.25</v>
      </c>
    </row>
    <row r="34" spans="1:17" s="34" customFormat="1" hidden="1" outlineLevel="1" x14ac:dyDescent="0.25">
      <c r="A34" s="35"/>
      <c r="B34" s="10" t="str">
        <f>CONCATENATE("          ","6114", " - ","STATE UNEMPLOYMENT INSURANCE")</f>
        <v xml:space="preserve">          6114 - STATE UNEMPLOYMENT INSURANCE</v>
      </c>
      <c r="C34" s="11"/>
      <c r="D34" s="2">
        <v>41.26</v>
      </c>
      <c r="E34" s="2">
        <v>43.84</v>
      </c>
      <c r="F34" s="2">
        <v>44.52</v>
      </c>
      <c r="G34" s="2">
        <v>43.33</v>
      </c>
      <c r="H34" s="2">
        <v>78.23</v>
      </c>
      <c r="I34" s="2"/>
      <c r="J34" s="2">
        <v>86.81</v>
      </c>
      <c r="K34" s="2">
        <v>44.07</v>
      </c>
      <c r="L34" s="2">
        <v>43.8</v>
      </c>
      <c r="M34" s="2">
        <v>43.13</v>
      </c>
      <c r="N34" s="2">
        <v>43.389890000000001</v>
      </c>
      <c r="O34" s="2">
        <v>43.389890000000001</v>
      </c>
      <c r="P34" s="9"/>
      <c r="Q34" s="2">
        <f>SUM(OSRRefD21_0_3x)+IFERROR(SUM(OSRRefE21_0_3x),0)</f>
        <v>555.76977999999997</v>
      </c>
    </row>
    <row r="35" spans="1:17" s="34" customFormat="1" hidden="1" outlineLevel="1" x14ac:dyDescent="0.25">
      <c r="A35" s="35"/>
      <c r="B35" s="10" t="str">
        <f>CONCATENATE("          ","6115", " - ","P.E.R.S.")</f>
        <v xml:space="preserve">          6115 - P.E.R.S.</v>
      </c>
      <c r="C35" s="11"/>
      <c r="D35" s="2">
        <v>2066.46</v>
      </c>
      <c r="E35" s="2">
        <v>1614.45</v>
      </c>
      <c r="F35" s="2">
        <v>1614.45</v>
      </c>
      <c r="G35" s="2">
        <v>1202.9100000000001</v>
      </c>
      <c r="H35" s="2">
        <v>2180.81</v>
      </c>
      <c r="I35" s="2">
        <v>1385.13</v>
      </c>
      <c r="J35" s="2">
        <v>2421.6799999999998</v>
      </c>
      <c r="K35" s="2">
        <v>1614.45</v>
      </c>
      <c r="L35" s="2">
        <v>1614.45</v>
      </c>
      <c r="M35" s="2">
        <v>1596.69</v>
      </c>
      <c r="N35" s="2">
        <v>1387.1300538461501</v>
      </c>
      <c r="O35" s="2">
        <v>1387.1300538461501</v>
      </c>
      <c r="P35" s="9"/>
      <c r="Q35" s="2">
        <f>SUM(OSRRefD21_0_4x)+IFERROR(SUM(OSRRefE21_0_4x),0)</f>
        <v>20085.740107692298</v>
      </c>
    </row>
    <row r="36" spans="1:17" s="34" customFormat="1" hidden="1" outlineLevel="1" x14ac:dyDescent="0.25">
      <c r="A36" s="35"/>
      <c r="B36" s="10" t="str">
        <f>CONCATENATE("          ","6116", " - ","EDUCATIONAL BENEFITS")</f>
        <v xml:space="preserve">          6116 - EDUCATIONAL BENEFITS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4" customFormat="1" hidden="1" outlineLevel="1" x14ac:dyDescent="0.25">
      <c r="A37" s="35"/>
      <c r="B37" s="10" t="str">
        <f>CONCATENATE("          ","6118", " - ","VACATION")</f>
        <v xml:space="preserve">          6118 - VACATION</v>
      </c>
      <c r="C37" s="11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1216.0999999999999</v>
      </c>
      <c r="M37" s="2">
        <v>1824.15</v>
      </c>
      <c r="N37" s="2">
        <v>1131.2377584615399</v>
      </c>
      <c r="O37" s="2">
        <v>1131.2377584615399</v>
      </c>
      <c r="P37" s="9"/>
      <c r="Q37" s="2">
        <f>SUM(OSRRefD21_0_6x)+IFERROR(SUM(OSRRefE21_0_6x),0)</f>
        <v>15402.35551692308</v>
      </c>
    </row>
    <row r="38" spans="1:17" s="34" customFormat="1" hidden="1" outlineLevel="1" x14ac:dyDescent="0.25">
      <c r="A38" s="35"/>
      <c r="B38" s="10" t="str">
        <f>CONCATENATE("          ","6119", " - ","SICK LEAVE")</f>
        <v xml:space="preserve">          6119 - SICK LEAVE</v>
      </c>
      <c r="C38" s="11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738.5</v>
      </c>
      <c r="M38" s="2">
        <v>1107.75</v>
      </c>
      <c r="N38" s="2">
        <v>558.49796153846205</v>
      </c>
      <c r="O38" s="2">
        <v>558.49796153846205</v>
      </c>
      <c r="P38" s="9"/>
      <c r="Q38" s="2">
        <f>SUM(OSRRefD21_0_7x)+IFERROR(SUM(OSRRefE21_0_7x),0)</f>
        <v>9134.5159230769241</v>
      </c>
    </row>
    <row r="39" spans="1:17" s="34" customFormat="1" hidden="1" outlineLevel="1" x14ac:dyDescent="0.25">
      <c r="A39" s="35"/>
      <c r="B39" s="10" t="str">
        <f>CONCATENATE("          ","6156", " - ","EMPLOYEE MEALS")</f>
        <v xml:space="preserve">          6156 - EMPLOYEE MEALS</v>
      </c>
      <c r="C39" s="11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>
        <v>338.52</v>
      </c>
      <c r="M39" s="2">
        <v>388.79</v>
      </c>
      <c r="N39" s="2"/>
      <c r="O39" s="2"/>
      <c r="P39" s="9"/>
      <c r="Q39" s="2">
        <f>SUM(OSRRefD21_0_8x)+IFERROR(SUM(OSRRefE21_0_8x),0)</f>
        <v>3275.04</v>
      </c>
    </row>
    <row r="40" spans="1:17" s="34" customFormat="1" collapsed="1" x14ac:dyDescent="0.25">
      <c r="A40" s="35"/>
      <c r="B40" s="11" t="str">
        <f>CONCATENATE("     ","*Payroll                                          ")</f>
        <v xml:space="preserve">     *Payroll                                          </v>
      </c>
      <c r="C40" s="11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</v>
      </c>
      <c r="L40" s="1">
        <f>SUM(OSRRefD21_1x_8)</f>
        <v>14970.33</v>
      </c>
      <c r="M40" s="1">
        <f>SUM(OSRRefD21_1x_9)</f>
        <v>16035.06</v>
      </c>
      <c r="N40" s="1">
        <f>SUM(OSRRefE21_1x_0)</f>
        <v>14471.2176846154</v>
      </c>
      <c r="O40" s="1">
        <f>SUM(OSRRefE21_1x_1)</f>
        <v>14471.2176846154</v>
      </c>
      <c r="Q40" s="2">
        <f>SUM(OSRRefD20_1x)+IFERROR(SUM(OSRRefE20_1x),0)</f>
        <v>183796.06536923081</v>
      </c>
    </row>
    <row r="41" spans="1:17" s="34" customFormat="1" hidden="1" outlineLevel="1" x14ac:dyDescent="0.25">
      <c r="A41" s="35"/>
      <c r="B41" s="10" t="str">
        <f>CONCATENATE("          ","6001", " - ","ADMINISTRATIVE SALARIES")</f>
        <v xml:space="preserve">          6001 - ADMINISTRATIVE SALARIES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4" customFormat="1" hidden="1" outlineLevel="1" x14ac:dyDescent="0.25">
      <c r="A42" s="35"/>
      <c r="B42" s="10" t="str">
        <f>CONCATENATE("          ","6002", " - ","STAFF SALARIES")</f>
        <v xml:space="preserve">          6002 - STAFF SALARIES</v>
      </c>
      <c r="C42" s="11"/>
      <c r="D42" s="2">
        <v>15059.94</v>
      </c>
      <c r="E42" s="2">
        <v>12050.26</v>
      </c>
      <c r="F42" s="2">
        <v>14903.76</v>
      </c>
      <c r="G42" s="2">
        <v>14754.47</v>
      </c>
      <c r="H42" s="2">
        <v>12025.49</v>
      </c>
      <c r="I42" s="2">
        <v>14236.79</v>
      </c>
      <c r="J42" s="2">
        <v>19715.72</v>
      </c>
      <c r="K42" s="2">
        <v>15262.95</v>
      </c>
      <c r="L42" s="2">
        <v>14462.41</v>
      </c>
      <c r="M42" s="2">
        <v>15385.34</v>
      </c>
      <c r="N42" s="2">
        <v>14471.2176846154</v>
      </c>
      <c r="O42" s="2">
        <v>14471.2176846154</v>
      </c>
      <c r="P42" s="9"/>
      <c r="Q42" s="2">
        <f>SUM(OSRRefD21_1_1x)+IFERROR(SUM(OSRRefE21_1_1x),0)</f>
        <v>176799.56536923078</v>
      </c>
    </row>
    <row r="43" spans="1:17" s="34" customFormat="1" hidden="1" outlineLevel="1" x14ac:dyDescent="0.25">
      <c r="A43" s="35"/>
      <c r="B43" s="10" t="str">
        <f>CONCATENATE("          ","6003", " - ","STAFF HOURLY-9 MONTH")</f>
        <v xml:space="preserve">          6003 - STAFF HOURLY-9 MONTH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25">
      <c r="A44" s="35"/>
      <c r="B44" s="10" t="str">
        <f>CONCATENATE("          ","6004", " - ","STAFF HOURLY")</f>
        <v xml:space="preserve">          6004 - STAFF HOURLY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SUM(OSRRefD21_1_3x)+IFERROR(SUM(OSRRefE21_1_3x),0)</f>
        <v>0</v>
      </c>
    </row>
    <row r="45" spans="1:17" s="34" customFormat="1" hidden="1" outlineLevel="1" x14ac:dyDescent="0.25">
      <c r="A45" s="35"/>
      <c r="B45" s="10" t="str">
        <f>CONCATENATE("          ","6005", " - ","TEMPORARY WAGES-HOURLY")</f>
        <v xml:space="preserve">          6005 - TEMPORARY WAGES-HOURLY</v>
      </c>
      <c r="C45" s="11"/>
      <c r="D45" s="2"/>
      <c r="E45" s="2">
        <v>383.25</v>
      </c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SUM(OSRRefD21_1_4x)+IFERROR(SUM(OSRRefE21_1_4x),0)</f>
        <v>383.25</v>
      </c>
    </row>
    <row r="46" spans="1:17" s="34" customFormat="1" hidden="1" outlineLevel="1" x14ac:dyDescent="0.25">
      <c r="A46" s="35"/>
      <c r="B46" s="10" t="str">
        <f>CONCATENATE("          ","6006", " - ","TEMPORARY PART TIME")</f>
        <v xml:space="preserve">          6006 - TEMPORARY PART TIME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25">
      <c r="A47" s="35"/>
      <c r="B47" s="10" t="str">
        <f>CONCATENATE("          ","6007", " - ","STUDENT HOURLY")</f>
        <v xml:space="preserve">          6007 - STUDENT HOURLY</v>
      </c>
      <c r="C47" s="11"/>
      <c r="D47" s="2"/>
      <c r="E47" s="2">
        <v>1072.27</v>
      </c>
      <c r="F47" s="2">
        <v>1081.18</v>
      </c>
      <c r="G47" s="2">
        <v>862.92</v>
      </c>
      <c r="H47" s="2">
        <v>501.9</v>
      </c>
      <c r="I47" s="2">
        <v>331.1</v>
      </c>
      <c r="J47" s="2">
        <v>1124.52</v>
      </c>
      <c r="K47" s="2">
        <v>481.72</v>
      </c>
      <c r="L47" s="2">
        <v>507.92</v>
      </c>
      <c r="M47" s="2">
        <v>649.72</v>
      </c>
      <c r="N47" s="2">
        <v>0</v>
      </c>
      <c r="O47" s="2">
        <v>0</v>
      </c>
      <c r="P47" s="9"/>
      <c r="Q47" s="2">
        <f>SUM(OSRRefD21_1_6x)+IFERROR(SUM(OSRRefE21_1_6x),0)</f>
        <v>6613.25</v>
      </c>
    </row>
    <row r="48" spans="1:17" s="34" customFormat="1" hidden="1" outlineLevel="1" x14ac:dyDescent="0.25">
      <c r="A48" s="35"/>
      <c r="B48" s="10" t="str">
        <f>CONCATENATE("          ","6008", " - ","STUDENT HOURLY-FICA EXEMPT")</f>
        <v xml:space="preserve">          6008 - STUDENT HOURLY-FICA EXEMPT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4" customFormat="1" hidden="1" outlineLevel="1" x14ac:dyDescent="0.25">
      <c r="A49" s="35"/>
      <c r="B49" s="10" t="str">
        <f>CONCATENATE("          ","6009", " - ","TEMPORARY-SEASONAL")</f>
        <v xml:space="preserve">          6009 - TEMPORARY-SEASONAL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25">
      <c r="A50" s="35"/>
      <c r="B50" s="10" t="str">
        <f>CONCATENATE("          ","6010", " - ","GRATUITY")</f>
        <v xml:space="preserve">          6010 - GRATUITY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25">
      <c r="A51" s="35"/>
      <c r="B51" s="11" t="str">
        <f>CONCATENATE("     ","Advertising/Promo                                 ")</f>
        <v xml:space="preserve">     Advertising/Promo                                 </v>
      </c>
      <c r="C51" s="11"/>
      <c r="D51" s="1">
        <f>SUM(OSRRefD21_2x_0)</f>
        <v>0</v>
      </c>
      <c r="E51" s="1">
        <f>SUM(OSRRefD21_2x_1)</f>
        <v>0</v>
      </c>
      <c r="F51" s="1">
        <f>SUM(OSRRefD21_2x_2)</f>
        <v>0</v>
      </c>
      <c r="G51" s="1">
        <f>SUM(OSRRefD21_2x_3)</f>
        <v>0</v>
      </c>
      <c r="H51" s="1">
        <f>SUM(OSRRefD21_2x_4)</f>
        <v>0</v>
      </c>
      <c r="I51" s="1">
        <f>SUM(OSRRefD21_2x_5)</f>
        <v>0</v>
      </c>
      <c r="J51" s="1">
        <f>SUM(OSRRefD21_2x_6)</f>
        <v>0</v>
      </c>
      <c r="K51" s="1">
        <f>SUM(OSRRefD21_2x_7)</f>
        <v>0</v>
      </c>
      <c r="L51" s="1">
        <f>SUM(OSRRefD21_2x_8)</f>
        <v>0</v>
      </c>
      <c r="M51" s="1">
        <f>SUM(OSRRefD21_2x_9)</f>
        <v>0</v>
      </c>
      <c r="N51" s="1">
        <f>SUM(OSRRefE21_2x_0)</f>
        <v>50</v>
      </c>
      <c r="O51" s="1">
        <f>SUM(OSRRefE21_2x_1)</f>
        <v>50</v>
      </c>
      <c r="Q51" s="2">
        <f>SUM(OSRRefD20_2x)+IFERROR(SUM(OSRRefE20_2x),0)</f>
        <v>100</v>
      </c>
    </row>
    <row r="52" spans="1:17" s="34" customFormat="1" hidden="1" outlineLevel="1" x14ac:dyDescent="0.25">
      <c r="A52" s="35"/>
      <c r="B52" s="10" t="str">
        <f>CONCATENATE("          ","6362", " - ","ADVERTISING EXPENSE")</f>
        <v xml:space="preserve">          6362 - ADVERTISING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50</v>
      </c>
      <c r="O52" s="2">
        <v>50</v>
      </c>
      <c r="P52" s="9"/>
      <c r="Q52" s="2">
        <f>SUM(OSRRefD21_2_0x)+IFERROR(SUM(OSRRefE21_2_0x),0)</f>
        <v>100</v>
      </c>
    </row>
    <row r="53" spans="1:17" s="34" customFormat="1" collapsed="1" x14ac:dyDescent="0.25">
      <c r="A53" s="35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SUM(OSRRefD21_3x_0)</f>
        <v>169.88</v>
      </c>
      <c r="E53" s="1">
        <f>SUM(OSRRefD21_3x_1)</f>
        <v>169.88</v>
      </c>
      <c r="F53" s="1">
        <f>SUM(OSRRefD21_3x_2)</f>
        <v>169.88</v>
      </c>
      <c r="G53" s="1">
        <f>SUM(OSRRefD21_3x_3)</f>
        <v>169.88</v>
      </c>
      <c r="H53" s="1">
        <f>SUM(OSRRefD21_3x_4)</f>
        <v>169.88</v>
      </c>
      <c r="I53" s="1">
        <f>SUM(OSRRefD21_3x_5)</f>
        <v>169.88</v>
      </c>
      <c r="J53" s="1">
        <f>SUM(OSRRefD21_3x_6)</f>
        <v>169.88</v>
      </c>
      <c r="K53" s="1">
        <f>SUM(OSRRefD21_3x_7)</f>
        <v>169.88</v>
      </c>
      <c r="L53" s="1">
        <f>SUM(OSRRefD21_3x_8)</f>
        <v>169.88</v>
      </c>
      <c r="M53" s="1">
        <f>SUM(OSRRefD21_3x_9)</f>
        <v>169.88</v>
      </c>
      <c r="N53" s="1">
        <f>SUM(OSRRefE21_3x_0)</f>
        <v>170</v>
      </c>
      <c r="O53" s="1">
        <f>SUM(OSRRefE21_3x_1)</f>
        <v>170</v>
      </c>
      <c r="Q53" s="2">
        <f>SUM(OSRRefD20_3x)+IFERROR(SUM(OSRRefE20_3x),0)</f>
        <v>2038.8000000000002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169.88</v>
      </c>
      <c r="E54" s="2">
        <v>169.88</v>
      </c>
      <c r="F54" s="2">
        <v>169.88</v>
      </c>
      <c r="G54" s="2">
        <v>169.88</v>
      </c>
      <c r="H54" s="2">
        <v>169.88</v>
      </c>
      <c r="I54" s="2">
        <v>169.88</v>
      </c>
      <c r="J54" s="2">
        <v>169.88</v>
      </c>
      <c r="K54" s="2">
        <v>169.88</v>
      </c>
      <c r="L54" s="2">
        <v>169.88</v>
      </c>
      <c r="M54" s="2">
        <v>169.88</v>
      </c>
      <c r="N54" s="2">
        <v>170</v>
      </c>
      <c r="O54" s="2">
        <v>170</v>
      </c>
      <c r="P54" s="9"/>
      <c r="Q54" s="2">
        <f>SUM(OSRRefD21_3_0x)+IFERROR(SUM(OSRRefE21_3_0x),0)</f>
        <v>2038.8000000000002</v>
      </c>
    </row>
    <row r="55" spans="1:17" s="34" customFormat="1" collapsed="1" x14ac:dyDescent="0.25">
      <c r="A55" s="35"/>
      <c r="B55" s="11" t="str">
        <f>CONCATENATE("     ","Discounts and Markdowns                           ")</f>
        <v xml:space="preserve">     Discounts and Markdowns                           </v>
      </c>
      <c r="C55" s="11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SUM(OSRRefD21_4x_3)</f>
        <v>0</v>
      </c>
      <c r="H55" s="1">
        <f>SUM(OSRRefD21_4x_4)</f>
        <v>0</v>
      </c>
      <c r="I55" s="1">
        <f>SUM(OSRRefD21_4x_5)</f>
        <v>0</v>
      </c>
      <c r="J55" s="1">
        <f>SUM(OSRRefD21_4x_6)</f>
        <v>0</v>
      </c>
      <c r="K55" s="1">
        <f>SUM(OSRRefD21_4x_7)</f>
        <v>0</v>
      </c>
      <c r="L55" s="1">
        <f>SUM(OSRRefD21_4x_8)</f>
        <v>0</v>
      </c>
      <c r="M55" s="1">
        <f>SUM(OSRRefD21_4x_9)</f>
        <v>0</v>
      </c>
      <c r="N55" s="1">
        <f>SUM(OSRRefE21_4x_0)</f>
        <v>50</v>
      </c>
      <c r="O55" s="1">
        <f>SUM(OSRRefE21_4x_1)</f>
        <v>50</v>
      </c>
      <c r="Q55" s="2">
        <f>SUM(OSRRefD20_4x)+IFERROR(SUM(OSRRefE20_4x),0)</f>
        <v>100</v>
      </c>
    </row>
    <row r="56" spans="1:17" s="34" customFormat="1" hidden="1" outlineLevel="1" x14ac:dyDescent="0.25">
      <c r="A56" s="35"/>
      <c r="B56" s="10" t="str">
        <f>CONCATENATE("          ","6382", " - ","DISCOUNTS/MARK DOWNS")</f>
        <v xml:space="preserve">          6382 - DISCOUNTS/MARK DOWNS</v>
      </c>
      <c r="C56" s="11"/>
      <c r="D56" s="2"/>
      <c r="E56" s="2">
        <v>0</v>
      </c>
      <c r="F56" s="2">
        <v>0</v>
      </c>
      <c r="G56" s="2">
        <v>0</v>
      </c>
      <c r="H56" s="2"/>
      <c r="I56" s="2"/>
      <c r="J56" s="2">
        <v>0</v>
      </c>
      <c r="K56" s="2"/>
      <c r="L56" s="2"/>
      <c r="M56" s="2"/>
      <c r="N56" s="2">
        <v>50</v>
      </c>
      <c r="O56" s="2">
        <v>50</v>
      </c>
      <c r="P56" s="9"/>
      <c r="Q56" s="2">
        <f>SUM(OSRRefD21_4_0x)+IFERROR(SUM(OSRRefE21_4_0x),0)</f>
        <v>100</v>
      </c>
    </row>
    <row r="57" spans="1:17" s="34" customFormat="1" collapsed="1" x14ac:dyDescent="0.25">
      <c r="A57" s="35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SUM(OSRRefD21_5x_0)</f>
        <v>1205.6400000000001</v>
      </c>
      <c r="E57" s="1">
        <f>SUM(OSRRefD21_5x_1)</f>
        <v>1205.6400000000001</v>
      </c>
      <c r="F57" s="1">
        <f>SUM(OSRRefD21_5x_2)</f>
        <v>1205.6400000000001</v>
      </c>
      <c r="G57" s="1">
        <f>SUM(OSRRefD21_5x_3)</f>
        <v>1205.6400000000001</v>
      </c>
      <c r="H57" s="1">
        <f>SUM(OSRRefD21_5x_4)</f>
        <v>1205.6400000000001</v>
      </c>
      <c r="I57" s="1">
        <f>SUM(OSRRefD21_5x_5)</f>
        <v>1205.6400000000001</v>
      </c>
      <c r="J57" s="1">
        <f>SUM(OSRRefD21_5x_6)</f>
        <v>1205.6400000000001</v>
      </c>
      <c r="K57" s="1">
        <f>SUM(OSRRefD21_5x_7)</f>
        <v>1205.6400000000001</v>
      </c>
      <c r="L57" s="1">
        <f>SUM(OSRRefD21_5x_8)</f>
        <v>1205.6400000000001</v>
      </c>
      <c r="M57" s="1">
        <f>SUM(OSRRefD21_5x_9)</f>
        <v>1205.6400000000001</v>
      </c>
      <c r="N57" s="1">
        <f>SUM(OSRRefE21_5x_0)</f>
        <v>1206</v>
      </c>
      <c r="O57" s="1">
        <f>SUM(OSRRefE21_5x_1)</f>
        <v>1206</v>
      </c>
      <c r="Q57" s="2">
        <f>SUM(OSRRefD20_5x)+IFERROR(SUM(OSRRefE20_5x),0)</f>
        <v>14468.4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1"/>
      <c r="D58" s="2">
        <v>1205.6400000000001</v>
      </c>
      <c r="E58" s="2">
        <v>1205.6400000000001</v>
      </c>
      <c r="F58" s="2">
        <v>1205.6400000000001</v>
      </c>
      <c r="G58" s="2">
        <v>1205.6400000000001</v>
      </c>
      <c r="H58" s="2">
        <v>1205.6400000000001</v>
      </c>
      <c r="I58" s="2">
        <v>1205.6400000000001</v>
      </c>
      <c r="J58" s="2">
        <v>1205.6400000000001</v>
      </c>
      <c r="K58" s="2">
        <v>1205.6400000000001</v>
      </c>
      <c r="L58" s="2">
        <v>1205.6400000000001</v>
      </c>
      <c r="M58" s="2">
        <v>1205.6400000000001</v>
      </c>
      <c r="N58" s="2">
        <v>1206</v>
      </c>
      <c r="O58" s="2">
        <v>1206</v>
      </c>
      <c r="P58" s="9"/>
      <c r="Q58" s="2">
        <f>SUM(OSRRefD21_5_0x)+IFERROR(SUM(OSRRefE21_5_0x),0)</f>
        <v>14468.4</v>
      </c>
    </row>
    <row r="59" spans="1:17" s="34" customFormat="1" collapsed="1" x14ac:dyDescent="0.25">
      <c r="A59" s="35"/>
      <c r="B59" s="11" t="str">
        <f>CONCATENATE("     ","Freight out/Postage                               ")</f>
        <v xml:space="preserve">     Freight out/Postage                               </v>
      </c>
      <c r="C59" s="11"/>
      <c r="D59" s="1">
        <f>SUM(OSRRefD21_6x_0)</f>
        <v>8744.76</v>
      </c>
      <c r="E59" s="1">
        <f>SUM(OSRRefD21_6x_1)</f>
        <v>-84423.840000000011</v>
      </c>
      <c r="F59" s="1">
        <f>SUM(OSRRefD21_6x_2)</f>
        <v>-6321.6000000000013</v>
      </c>
      <c r="G59" s="1">
        <f>SUM(OSRRefD21_6x_3)</f>
        <v>48851.519999999997</v>
      </c>
      <c r="H59" s="1">
        <f>SUM(OSRRefD21_6x_4)</f>
        <v>8307.7900000000009</v>
      </c>
      <c r="I59" s="1">
        <f>SUM(OSRRefD21_6x_5)</f>
        <v>107.48999999999978</v>
      </c>
      <c r="J59" s="1">
        <f>SUM(OSRRefD21_6x_6)</f>
        <v>-23491.679999999997</v>
      </c>
      <c r="K59" s="1">
        <f>SUM(OSRRefD21_6x_7)</f>
        <v>2803.1499999999978</v>
      </c>
      <c r="L59" s="1">
        <f>SUM(OSRRefD21_6x_8)</f>
        <v>-8583.6000000000022</v>
      </c>
      <c r="M59" s="1">
        <f>SUM(OSRRefD21_6x_9)</f>
        <v>-18667.690000000002</v>
      </c>
      <c r="N59" s="1">
        <f>SUM(OSRRefE21_6x_0)</f>
        <v>-2750</v>
      </c>
      <c r="O59" s="1">
        <f>SUM(OSRRefE21_6x_1)</f>
        <v>-1000</v>
      </c>
      <c r="Q59" s="2">
        <f>SUM(OSRRefD20_6x)+IFERROR(SUM(OSRRefE20_6x),0)</f>
        <v>-76423.700000000041</v>
      </c>
    </row>
    <row r="60" spans="1:17" s="34" customFormat="1" hidden="1" outlineLevel="1" x14ac:dyDescent="0.25">
      <c r="A60" s="35"/>
      <c r="B60" s="10" t="str">
        <f>CONCATENATE("          ","6305", " - ","FREIGHT OUT")</f>
        <v xml:space="preserve">          6305 - FREIGHT OUT</v>
      </c>
      <c r="C60" s="11"/>
      <c r="D60" s="2">
        <v>11905.2</v>
      </c>
      <c r="E60" s="2">
        <v>7873.15</v>
      </c>
      <c r="F60" s="2">
        <v>5262.44</v>
      </c>
      <c r="G60" s="2">
        <v>60553.99</v>
      </c>
      <c r="H60" s="2">
        <v>12643.45</v>
      </c>
      <c r="I60" s="2">
        <v>9824.01</v>
      </c>
      <c r="J60" s="2">
        <v>18016.990000000002</v>
      </c>
      <c r="K60" s="2">
        <v>24817.48</v>
      </c>
      <c r="L60" s="2">
        <v>10582.48</v>
      </c>
      <c r="M60" s="2">
        <v>16530.71</v>
      </c>
      <c r="N60" s="2">
        <v>2250</v>
      </c>
      <c r="O60" s="2">
        <v>1000</v>
      </c>
      <c r="P60" s="9"/>
      <c r="Q60" s="2">
        <f>SUM(OSRRefD21_6_0x)+IFERROR(SUM(OSRRefE21_6_0x),0)</f>
        <v>181259.9</v>
      </c>
    </row>
    <row r="61" spans="1:17" s="34" customFormat="1" hidden="1" outlineLevel="1" x14ac:dyDescent="0.25">
      <c r="A61" s="35"/>
      <c r="B61" s="10" t="str">
        <f>CONCATENATE("          ","6307", " - ","POSTAGE")</f>
        <v xml:space="preserve">          6307 - POSTAGE</v>
      </c>
      <c r="C61" s="11"/>
      <c r="D61" s="2">
        <v>-3160.44</v>
      </c>
      <c r="E61" s="2">
        <v>-92296.99</v>
      </c>
      <c r="F61" s="2">
        <v>-11584.04</v>
      </c>
      <c r="G61" s="2">
        <v>-11702.47</v>
      </c>
      <c r="H61" s="2">
        <v>-4335.66</v>
      </c>
      <c r="I61" s="2">
        <v>-9716.52</v>
      </c>
      <c r="J61" s="2">
        <v>-41508.67</v>
      </c>
      <c r="K61" s="2">
        <v>-22014.33</v>
      </c>
      <c r="L61" s="2">
        <v>-19166.080000000002</v>
      </c>
      <c r="M61" s="2">
        <v>-35198.400000000001</v>
      </c>
      <c r="N61" s="2">
        <v>-5000</v>
      </c>
      <c r="O61" s="2">
        <v>-2000</v>
      </c>
      <c r="P61" s="9"/>
      <c r="Q61" s="2">
        <f>SUM(OSRRefD21_6_1x)+IFERROR(SUM(OSRRefE21_6_1x),0)</f>
        <v>-257683.6</v>
      </c>
    </row>
    <row r="62" spans="1:17" s="34" customFormat="1" collapsed="1" x14ac:dyDescent="0.25">
      <c r="A62" s="35"/>
      <c r="B62" s="11" t="str">
        <f>CONCATENATE("     ","Repair and Maintenance                            ")</f>
        <v xml:space="preserve">     Repair and Maintenance                            </v>
      </c>
      <c r="C62" s="11"/>
      <c r="D62" s="1">
        <f>SUM(OSRRefD21_7x_0)</f>
        <v>6378.1</v>
      </c>
      <c r="E62" s="1">
        <f>SUM(OSRRefD21_7x_1)</f>
        <v>5225.0200000000004</v>
      </c>
      <c r="F62" s="1">
        <f>SUM(OSRRefD21_7x_2)</f>
        <v>7243.55</v>
      </c>
      <c r="G62" s="1">
        <f>SUM(OSRRefD21_7x_3)</f>
        <v>5274.0899999999992</v>
      </c>
      <c r="H62" s="1">
        <f>SUM(OSRRefD21_7x_4)</f>
        <v>400.12</v>
      </c>
      <c r="I62" s="1">
        <f>SUM(OSRRefD21_7x_5)</f>
        <v>4858.63</v>
      </c>
      <c r="J62" s="1">
        <f>SUM(OSRRefD21_7x_6)</f>
        <v>1053.08</v>
      </c>
      <c r="K62" s="1">
        <f>SUM(OSRRefD21_7x_7)</f>
        <v>472.97</v>
      </c>
      <c r="L62" s="1">
        <f>SUM(OSRRefD21_7x_8)</f>
        <v>85.78</v>
      </c>
      <c r="M62" s="1">
        <f>SUM(OSRRefD21_7x_9)</f>
        <v>102.36</v>
      </c>
      <c r="N62" s="1">
        <f>SUM(OSRRefE21_7x_0)</f>
        <v>2000</v>
      </c>
      <c r="O62" s="1">
        <f>SUM(OSRRefE21_7x_1)</f>
        <v>3000</v>
      </c>
      <c r="Q62" s="2">
        <f>SUM(OSRRefD20_7x)+IFERROR(SUM(OSRRefE20_7x),0)</f>
        <v>36093.700000000004</v>
      </c>
    </row>
    <row r="63" spans="1:17" s="34" customFormat="1" hidden="1" outlineLevel="1" x14ac:dyDescent="0.25">
      <c r="A63" s="35"/>
      <c r="B63" s="10" t="str">
        <f>CONCATENATE("          ","6371", " - ","COMPUTER SOFTWARE MAINTENANCE")</f>
        <v xml:space="preserve">          6371 - COMPUTER SOFTWARE MAINTENANCE</v>
      </c>
      <c r="C63" s="11"/>
      <c r="D63" s="2"/>
      <c r="E63" s="2"/>
      <c r="F63" s="2"/>
      <c r="G63" s="2">
        <v>7.69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SUM(OSRRefD21_7_0x)+IFERROR(SUM(OSRRefE21_7_0x),0)</f>
        <v>7.69</v>
      </c>
    </row>
    <row r="64" spans="1:17" s="34" customFormat="1" hidden="1" outlineLevel="1" x14ac:dyDescent="0.25">
      <c r="A64" s="35"/>
      <c r="B64" s="10" t="str">
        <f>CONCATENATE("          ","6373", " - ","MAINTENANCE CONTRACTS")</f>
        <v xml:space="preserve">          6373 - MAINTENANCE CONTRACTS</v>
      </c>
      <c r="C64" s="11"/>
      <c r="D64" s="2">
        <v>6378.1</v>
      </c>
      <c r="E64" s="2">
        <v>5225.0200000000004</v>
      </c>
      <c r="F64" s="2">
        <v>7243.55</v>
      </c>
      <c r="G64" s="2">
        <v>5266.4</v>
      </c>
      <c r="H64" s="2">
        <v>400.12</v>
      </c>
      <c r="I64" s="2">
        <v>4858.63</v>
      </c>
      <c r="J64" s="2">
        <v>1053.08</v>
      </c>
      <c r="K64" s="2">
        <v>472.97</v>
      </c>
      <c r="L64" s="2">
        <v>85.78</v>
      </c>
      <c r="M64" s="2">
        <v>97.76</v>
      </c>
      <c r="N64" s="2">
        <v>2000</v>
      </c>
      <c r="O64" s="2">
        <v>3000</v>
      </c>
      <c r="P64" s="9"/>
      <c r="Q64" s="2">
        <f>SUM(OSRRefD21_7_1x)+IFERROR(SUM(OSRRefE21_7_1x),0)</f>
        <v>36081.410000000003</v>
      </c>
    </row>
    <row r="65" spans="1:17" s="34" customFormat="1" hidden="1" outlineLevel="1" x14ac:dyDescent="0.25">
      <c r="A65" s="35"/>
      <c r="B65" s="10" t="str">
        <f>CONCATENATE("          ","6375", " - ","OUTSIDE REPAIRS &amp; MAINTENANCE")</f>
        <v xml:space="preserve">          6375 - OUTSIDE REPAIRS &amp; MAINTENANCE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4.5999999999999996</v>
      </c>
      <c r="N65" s="2"/>
      <c r="O65" s="2"/>
      <c r="P65" s="9"/>
      <c r="Q65" s="2">
        <f>SUM(OSRRefD21_7_2x)+IFERROR(SUM(OSRRefE21_7_2x),0)</f>
        <v>4.5999999999999996</v>
      </c>
    </row>
    <row r="66" spans="1:17" s="34" customFormat="1" collapsed="1" x14ac:dyDescent="0.25">
      <c r="A66" s="35"/>
      <c r="B66" s="11" t="str">
        <f>CONCATENATE("     ","Royalty &amp; Commissions                             ")</f>
        <v xml:space="preserve">     Royalty &amp; Commissions                             </v>
      </c>
      <c r="C66" s="11"/>
      <c r="D66" s="1">
        <f>SUM(OSRRefD21_8x_0)</f>
        <v>5317.55</v>
      </c>
      <c r="E66" s="1">
        <f>SUM(OSRRefD21_8x_1)</f>
        <v>4.6500000000000004</v>
      </c>
      <c r="F66" s="1">
        <f>SUM(OSRRefD21_8x_2)</f>
        <v>62.6</v>
      </c>
      <c r="G66" s="1">
        <f>SUM(OSRRefD21_8x_3)</f>
        <v>320.39999999999998</v>
      </c>
      <c r="H66" s="1">
        <f>SUM(OSRRefD21_8x_4)</f>
        <v>4453.09</v>
      </c>
      <c r="I66" s="1">
        <f>SUM(OSRRefD21_8x_5)</f>
        <v>5.97</v>
      </c>
      <c r="J66" s="1">
        <f>SUM(OSRRefD21_8x_6)</f>
        <v>3.81</v>
      </c>
      <c r="K66" s="1">
        <f>SUM(OSRRefD21_8x_7)</f>
        <v>468.34</v>
      </c>
      <c r="L66" s="1">
        <f>SUM(OSRRefD21_8x_8)</f>
        <v>27.21</v>
      </c>
      <c r="M66" s="1">
        <f>SUM(OSRRefD21_8x_9)</f>
        <v>2570.27</v>
      </c>
      <c r="N66" s="1">
        <f>SUM(OSRRefE21_8x_0)</f>
        <v>100</v>
      </c>
      <c r="O66" s="1">
        <f>SUM(OSRRefE21_8x_1)</f>
        <v>100</v>
      </c>
      <c r="Q66" s="2">
        <f>SUM(OSRRefD20_8x)+IFERROR(SUM(OSRRefE20_8x),0)</f>
        <v>13433.89</v>
      </c>
    </row>
    <row r="67" spans="1:17" s="34" customFormat="1" hidden="1" outlineLevel="1" x14ac:dyDescent="0.25">
      <c r="A67" s="35"/>
      <c r="B67" s="10" t="str">
        <f>CONCATENATE("          ","6259", " - ","ROYALTY &amp; COMMISSIONS")</f>
        <v xml:space="preserve">          6259 - ROYALTY &amp; COMMISSIONS</v>
      </c>
      <c r="C67" s="11"/>
      <c r="D67" s="2">
        <v>5317.55</v>
      </c>
      <c r="E67" s="2">
        <v>4.6500000000000004</v>
      </c>
      <c r="F67" s="2">
        <v>62.6</v>
      </c>
      <c r="G67" s="2">
        <v>320.39999999999998</v>
      </c>
      <c r="H67" s="2">
        <v>4453.09</v>
      </c>
      <c r="I67" s="2">
        <v>5.97</v>
      </c>
      <c r="J67" s="2">
        <v>3.81</v>
      </c>
      <c r="K67" s="2">
        <v>468.34</v>
      </c>
      <c r="L67" s="2">
        <v>27.21</v>
      </c>
      <c r="M67" s="2">
        <v>2570.27</v>
      </c>
      <c r="N67" s="2">
        <v>100</v>
      </c>
      <c r="O67" s="2">
        <v>100</v>
      </c>
      <c r="P67" s="9"/>
      <c r="Q67" s="2">
        <f>SUM(OSRRefD21_8_0x)+IFERROR(SUM(OSRRefE21_8_0x),0)</f>
        <v>13433.89</v>
      </c>
    </row>
    <row r="68" spans="1:17" s="34" customFormat="1" collapsed="1" x14ac:dyDescent="0.25">
      <c r="A68" s="35"/>
      <c r="B68" s="11" t="str">
        <f>CONCATENATE("     ","Supplies                                          ")</f>
        <v xml:space="preserve">     Supplies                                          </v>
      </c>
      <c r="C68" s="11"/>
      <c r="D68" s="1">
        <f>SUM(OSRRefD21_9x_0)</f>
        <v>4147.8</v>
      </c>
      <c r="E68" s="1">
        <f>SUM(OSRRefD21_9x_1)</f>
        <v>4783.22</v>
      </c>
      <c r="F68" s="1">
        <f>SUM(OSRRefD21_9x_2)</f>
        <v>10677.67</v>
      </c>
      <c r="G68" s="1">
        <f>SUM(OSRRefD21_9x_3)</f>
        <v>1902.8600000000001</v>
      </c>
      <c r="H68" s="1">
        <f>SUM(OSRRefD21_9x_4)</f>
        <v>2362.06</v>
      </c>
      <c r="I68" s="1">
        <f>SUM(OSRRefD21_9x_5)</f>
        <v>1943.62</v>
      </c>
      <c r="J68" s="1">
        <f>SUM(OSRRefD21_9x_6)</f>
        <v>6267.77</v>
      </c>
      <c r="K68" s="1">
        <f>SUM(OSRRefD21_9x_7)</f>
        <v>-2156.8399999999997</v>
      </c>
      <c r="L68" s="1">
        <f>SUM(OSRRefD21_9x_8)</f>
        <v>2585.0099999999998</v>
      </c>
      <c r="M68" s="1">
        <f>SUM(OSRRefD21_9x_9)</f>
        <v>3285.03</v>
      </c>
      <c r="N68" s="1">
        <f>SUM(OSRRefE21_9x_0)</f>
        <v>800</v>
      </c>
      <c r="O68" s="1">
        <f>SUM(OSRRefE21_9x_1)</f>
        <v>150</v>
      </c>
      <c r="Q68" s="2">
        <f>SUM(OSRRefD20_9x)+IFERROR(SUM(OSRRefE20_9x),0)</f>
        <v>36748.200000000004</v>
      </c>
    </row>
    <row r="69" spans="1:17" s="34" customFormat="1" hidden="1" outlineLevel="1" x14ac:dyDescent="0.25">
      <c r="A69" s="35"/>
      <c r="B69" s="10" t="str">
        <f>CONCATENATE("          ","6235", " - ","COVID-19 EXPENSES")</f>
        <v xml:space="preserve">          6235 - COVID-19 EXPENSES</v>
      </c>
      <c r="C69" s="11"/>
      <c r="D69" s="2">
        <v>310.91000000000003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9"/>
      <c r="Q69" s="2">
        <f>SUM(OSRRefD21_9_0x)+IFERROR(SUM(OSRRefE21_9_0x),0)</f>
        <v>310.91000000000003</v>
      </c>
    </row>
    <row r="70" spans="1:17" s="34" customFormat="1" hidden="1" outlineLevel="1" x14ac:dyDescent="0.25">
      <c r="A70" s="35"/>
      <c r="B70" s="10" t="str">
        <f>CONCATENATE("          ","6241", " - ","OFFICE EXPENSE")</f>
        <v xml:space="preserve">          6241 - OFFICE EXPENSE</v>
      </c>
      <c r="C70" s="11"/>
      <c r="D70" s="2"/>
      <c r="E70" s="2"/>
      <c r="F70" s="2">
        <v>4590.26</v>
      </c>
      <c r="G70" s="2">
        <v>6.6</v>
      </c>
      <c r="H70" s="2"/>
      <c r="I70" s="2"/>
      <c r="J70" s="2"/>
      <c r="K70" s="2">
        <v>7.71</v>
      </c>
      <c r="L70" s="2">
        <v>46.64</v>
      </c>
      <c r="M70" s="2">
        <v>6.55</v>
      </c>
      <c r="N70" s="2"/>
      <c r="O70" s="2"/>
      <c r="P70" s="9"/>
      <c r="Q70" s="2">
        <f>SUM(OSRRefD21_9_1x)+IFERROR(SUM(OSRRefE21_9_1x),0)</f>
        <v>4657.7600000000011</v>
      </c>
    </row>
    <row r="71" spans="1:17" s="34" customFormat="1" hidden="1" outlineLevel="1" x14ac:dyDescent="0.25">
      <c r="A71" s="35"/>
      <c r="B71" s="10" t="str">
        <f>CONCATENATE("          ","6243", " - ","PAPER SUPPLIES")</f>
        <v xml:space="preserve">          6243 - PAPER SUPPLIES</v>
      </c>
      <c r="C71" s="11"/>
      <c r="D71" s="2">
        <v>1080</v>
      </c>
      <c r="E71" s="2">
        <v>2044.69</v>
      </c>
      <c r="F71" s="2"/>
      <c r="G71" s="2">
        <v>449.01</v>
      </c>
      <c r="H71" s="2">
        <v>1108.5999999999999</v>
      </c>
      <c r="I71" s="2">
        <v>411.1</v>
      </c>
      <c r="J71" s="2">
        <v>1080</v>
      </c>
      <c r="K71" s="2"/>
      <c r="L71" s="2">
        <v>309.25</v>
      </c>
      <c r="M71" s="2">
        <v>199.93</v>
      </c>
      <c r="N71" s="2">
        <v>750</v>
      </c>
      <c r="O71" s="2">
        <v>100</v>
      </c>
      <c r="P71" s="9"/>
      <c r="Q71" s="2">
        <f>SUM(OSRRefD21_9_2x)+IFERROR(SUM(OSRRefE21_9_2x),0)</f>
        <v>7532.58</v>
      </c>
    </row>
    <row r="72" spans="1:17" s="34" customFormat="1" hidden="1" outlineLevel="1" x14ac:dyDescent="0.25">
      <c r="A72" s="35"/>
      <c r="B72" s="10" t="str">
        <f>CONCATENATE("          ","6245", " - ","PRINTING")</f>
        <v xml:space="preserve">          6245 - PRINTING</v>
      </c>
      <c r="C72" s="11"/>
      <c r="D72" s="2">
        <v>-1543.5</v>
      </c>
      <c r="E72" s="2">
        <v>1248</v>
      </c>
      <c r="F72" s="2">
        <v>288.3</v>
      </c>
      <c r="G72" s="2">
        <v>353.09</v>
      </c>
      <c r="H72" s="2">
        <v>93.72</v>
      </c>
      <c r="I72" s="2"/>
      <c r="J72" s="2"/>
      <c r="K72" s="2">
        <v>398.67</v>
      </c>
      <c r="L72" s="2">
        <v>447.27</v>
      </c>
      <c r="M72" s="2">
        <v>1766.38</v>
      </c>
      <c r="N72" s="2">
        <v>25</v>
      </c>
      <c r="O72" s="2">
        <v>25</v>
      </c>
      <c r="P72" s="9"/>
      <c r="Q72" s="2">
        <f>SUM(OSRRefD21_9_3x)+IFERROR(SUM(OSRRefE21_9_3x),0)</f>
        <v>3101.9300000000003</v>
      </c>
    </row>
    <row r="73" spans="1:17" s="34" customFormat="1" hidden="1" outlineLevel="1" x14ac:dyDescent="0.25">
      <c r="A73" s="35"/>
      <c r="B73" s="10" t="str">
        <f>CONCATENATE("          ","6247", " - ","STORE SUPPLIES")</f>
        <v xml:space="preserve">          6247 - STORE SUPPLIES</v>
      </c>
      <c r="C73" s="11"/>
      <c r="D73" s="2">
        <v>4300.3900000000003</v>
      </c>
      <c r="E73" s="2">
        <v>1490.53</v>
      </c>
      <c r="F73" s="2">
        <v>5799.11</v>
      </c>
      <c r="G73" s="2">
        <v>1094.1600000000001</v>
      </c>
      <c r="H73" s="2">
        <v>1159.74</v>
      </c>
      <c r="I73" s="2">
        <v>1532.52</v>
      </c>
      <c r="J73" s="2">
        <v>5187.7700000000004</v>
      </c>
      <c r="K73" s="2">
        <v>-2563.2199999999998</v>
      </c>
      <c r="L73" s="2">
        <v>1781.85</v>
      </c>
      <c r="M73" s="2">
        <v>1312.17</v>
      </c>
      <c r="N73" s="2">
        <v>25</v>
      </c>
      <c r="O73" s="2">
        <v>25</v>
      </c>
      <c r="P73" s="9"/>
      <c r="Q73" s="2">
        <f>SUM(OSRRefD21_9_4x)+IFERROR(SUM(OSRRefE21_9_4x),0)</f>
        <v>21145.019999999997</v>
      </c>
    </row>
    <row r="74" spans="1:17" s="34" customFormat="1" collapsed="1" x14ac:dyDescent="0.25">
      <c r="A74" s="35"/>
      <c r="B74" s="11" t="str">
        <f>CONCATENATE("     ","Telephone/Data Lines                              ")</f>
        <v xml:space="preserve">     Telephone/Data Lines                              </v>
      </c>
      <c r="C74" s="11"/>
      <c r="D74" s="1">
        <f>SUM(OSRRefD21_10x_0)</f>
        <v>200</v>
      </c>
      <c r="E74" s="1">
        <f>SUM(OSRRefD21_10x_1)</f>
        <v>200.75</v>
      </c>
      <c r="F74" s="1">
        <f>SUM(OSRRefD21_10x_2)</f>
        <v>265</v>
      </c>
      <c r="G74" s="1">
        <f>SUM(OSRRefD21_10x_3)</f>
        <v>193.4</v>
      </c>
      <c r="H74" s="1">
        <f>SUM(OSRRefD21_10x_4)</f>
        <v>214.55</v>
      </c>
      <c r="I74" s="1">
        <f>SUM(OSRRefD21_10x_5)</f>
        <v>183.3</v>
      </c>
      <c r="J74" s="1">
        <f>SUM(OSRRefD21_10x_6)</f>
        <v>82.2</v>
      </c>
      <c r="K74" s="1">
        <f>SUM(OSRRefD21_10x_7)</f>
        <v>82.1</v>
      </c>
      <c r="L74" s="1">
        <f>SUM(OSRRefD21_10x_8)</f>
        <v>82.1</v>
      </c>
      <c r="M74" s="1">
        <f>SUM(OSRRefD21_10x_9)</f>
        <v>82.1</v>
      </c>
      <c r="N74" s="1">
        <f>SUM(OSRRefE21_10x_0)</f>
        <v>165</v>
      </c>
      <c r="O74" s="1">
        <f>SUM(OSRRefE21_10x_1)</f>
        <v>165</v>
      </c>
      <c r="Q74" s="2">
        <f>SUM(OSRRefD20_10x)+IFERROR(SUM(OSRRefE20_10x),0)</f>
        <v>1915.4999999999998</v>
      </c>
    </row>
    <row r="75" spans="1:17" s="34" customFormat="1" hidden="1" outlineLevel="1" x14ac:dyDescent="0.25">
      <c r="A75" s="35"/>
      <c r="B75" s="10" t="str">
        <f>CONCATENATE("          ","6309", " - ","TELEPHONE")</f>
        <v xml:space="preserve">          6309 - TELEPHONE</v>
      </c>
      <c r="C75" s="11"/>
      <c r="D75" s="2">
        <v>200</v>
      </c>
      <c r="E75" s="2">
        <v>200.75</v>
      </c>
      <c r="F75" s="2">
        <v>265</v>
      </c>
      <c r="G75" s="2">
        <v>193.4</v>
      </c>
      <c r="H75" s="2">
        <v>214.55</v>
      </c>
      <c r="I75" s="2">
        <v>183.3</v>
      </c>
      <c r="J75" s="2">
        <v>82.2</v>
      </c>
      <c r="K75" s="2">
        <v>82.1</v>
      </c>
      <c r="L75" s="2">
        <v>82.1</v>
      </c>
      <c r="M75" s="2">
        <v>82.1</v>
      </c>
      <c r="N75" s="2">
        <v>165</v>
      </c>
      <c r="O75" s="2">
        <v>165</v>
      </c>
      <c r="P75" s="9"/>
      <c r="Q75" s="2">
        <f>SUM(OSRRefD21_10_0x)+IFERROR(SUM(OSRRefE21_10_0x),0)</f>
        <v>1915.4999999999998</v>
      </c>
    </row>
    <row r="76" spans="1:17" s="34" customFormat="1" collapsed="1" x14ac:dyDescent="0.25">
      <c r="A76" s="35"/>
      <c r="B76" s="11" t="str">
        <f>CONCATENATE("     ","Utilities                                         ")</f>
        <v xml:space="preserve">     Utilities                                         </v>
      </c>
      <c r="C76" s="11"/>
      <c r="D76" s="1">
        <f>SUM(OSRRefD21_11x_0)</f>
        <v>0</v>
      </c>
      <c r="E76" s="1">
        <f>SUM(OSRRefD21_11x_1)</f>
        <v>15.02</v>
      </c>
      <c r="F76" s="1">
        <f>SUM(OSRRefD21_11x_2)</f>
        <v>0</v>
      </c>
      <c r="G76" s="1">
        <f>SUM(OSRRefD21_11x_3)</f>
        <v>0</v>
      </c>
      <c r="H76" s="1">
        <f>SUM(OSRRefD21_11x_4)</f>
        <v>0</v>
      </c>
      <c r="I76" s="1">
        <f>SUM(OSRRefD21_11x_5)</f>
        <v>0</v>
      </c>
      <c r="J76" s="1">
        <f>SUM(OSRRefD21_11x_6)</f>
        <v>0</v>
      </c>
      <c r="K76" s="1">
        <f>SUM(OSRRefD21_11x_7)</f>
        <v>0</v>
      </c>
      <c r="L76" s="1">
        <f>SUM(OSRRefD21_11x_8)</f>
        <v>0</v>
      </c>
      <c r="M76" s="1">
        <f>SUM(OSRRefD21_11x_9)</f>
        <v>0</v>
      </c>
      <c r="N76" s="1">
        <f>SUM(OSRRefE21_11x_0)</f>
        <v>0</v>
      </c>
      <c r="O76" s="1">
        <f>SUM(OSRRefE21_11x_1)</f>
        <v>0</v>
      </c>
      <c r="Q76" s="2">
        <f>SUM(OSRRefD20_11x)+IFERROR(SUM(OSRRefE20_11x),0)</f>
        <v>15.02</v>
      </c>
    </row>
    <row r="77" spans="1:17" s="34" customFormat="1" hidden="1" outlineLevel="1" x14ac:dyDescent="0.25">
      <c r="A77" s="35"/>
      <c r="B77" s="10" t="str">
        <f>CONCATENATE("          ","6274", " - ","UTILITIES")</f>
        <v xml:space="preserve">          6274 - UTILITIES</v>
      </c>
      <c r="C77" s="11"/>
      <c r="D77" s="2"/>
      <c r="E77" s="2">
        <v>15.02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SUM(OSRRefD21_11_0x)+IFERROR(SUM(OSRRefE21_11_0x),0)</f>
        <v>15.02</v>
      </c>
    </row>
    <row r="78" spans="1:17" s="30" customFormat="1" x14ac:dyDescent="0.25">
      <c r="A78" s="21"/>
      <c r="B78" s="21"/>
      <c r="C78" s="2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Q78" s="1"/>
    </row>
    <row r="79" spans="1:17" s="9" customFormat="1" x14ac:dyDescent="0.25">
      <c r="A79" s="23"/>
      <c r="B79" s="16" t="s">
        <v>291</v>
      </c>
      <c r="C79" s="22"/>
      <c r="D79" s="3">
        <f t="shared" ref="D79:M79" si="19">--6782</f>
        <v>6782</v>
      </c>
      <c r="E79" s="3">
        <f t="shared" si="19"/>
        <v>6782</v>
      </c>
      <c r="F79" s="3">
        <f t="shared" si="19"/>
        <v>6782</v>
      </c>
      <c r="G79" s="3">
        <f t="shared" si="19"/>
        <v>6782</v>
      </c>
      <c r="H79" s="3">
        <f t="shared" si="19"/>
        <v>6782</v>
      </c>
      <c r="I79" s="3">
        <f t="shared" si="19"/>
        <v>6782</v>
      </c>
      <c r="J79" s="3">
        <f t="shared" si="19"/>
        <v>6782</v>
      </c>
      <c r="K79" s="3">
        <f t="shared" si="19"/>
        <v>6782</v>
      </c>
      <c r="L79" s="3">
        <f t="shared" si="19"/>
        <v>6782</v>
      </c>
      <c r="M79" s="3">
        <f t="shared" si="19"/>
        <v>6782</v>
      </c>
      <c r="N79" s="3">
        <v>6875</v>
      </c>
      <c r="O79" s="3">
        <v>6875</v>
      </c>
      <c r="Q79" s="2">
        <f>SUM(OSRRefD23_0x)+IFERROR(SUM(OSRRefE23_0x),0)</f>
        <v>81570</v>
      </c>
    </row>
    <row r="80" spans="1:17" x14ac:dyDescent="0.25">
      <c r="A80" s="5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x14ac:dyDescent="0.25">
      <c r="A81" s="6"/>
      <c r="B81" s="17" t="s">
        <v>274</v>
      </c>
      <c r="C81" s="17"/>
      <c r="D81" s="8">
        <f t="shared" ref="D81:O81" si="20">IFERROR(+D26-D29+D79, 0)</f>
        <v>-37524.080000000002</v>
      </c>
      <c r="E81" s="8">
        <f t="shared" si="20"/>
        <v>104716.88</v>
      </c>
      <c r="F81" s="8">
        <f t="shared" si="20"/>
        <v>-22426.079999999994</v>
      </c>
      <c r="G81" s="8">
        <f t="shared" si="20"/>
        <v>-66669.39999999998</v>
      </c>
      <c r="H81" s="8">
        <f t="shared" si="20"/>
        <v>-30800.15</v>
      </c>
      <c r="I81" s="8">
        <f t="shared" si="20"/>
        <v>-23899.910000000003</v>
      </c>
      <c r="J81" s="8">
        <f t="shared" si="20"/>
        <v>18251.209999999992</v>
      </c>
      <c r="K81" s="8">
        <f t="shared" si="20"/>
        <v>-16368.849999999995</v>
      </c>
      <c r="L81" s="8">
        <f t="shared" si="20"/>
        <v>-10511.499999999996</v>
      </c>
      <c r="M81" s="8">
        <f t="shared" si="20"/>
        <v>-4810.41</v>
      </c>
      <c r="N81" s="8">
        <f t="shared" si="20"/>
        <v>-14160.593557961554</v>
      </c>
      <c r="O81" s="8">
        <f t="shared" si="20"/>
        <v>-17803.373827961554</v>
      </c>
      <c r="Q81" s="8">
        <f>IFERROR(+Q26-Q29+Q79, 0)</f>
        <v>-122006.25738592312</v>
      </c>
    </row>
    <row r="82" spans="1:17" s="6" customFormat="1" x14ac:dyDescent="0.25">
      <c r="B82" s="16"/>
      <c r="C82" s="16"/>
      <c r="D82" s="4">
        <f t="shared" ref="D82:O82" si="21">IFERROR(D81/D10, 0)</f>
        <v>-7.7403230697192793</v>
      </c>
      <c r="E82" s="4">
        <f t="shared" si="21"/>
        <v>2.2034400528403699</v>
      </c>
      <c r="F82" s="4">
        <f t="shared" si="21"/>
        <v>-2.4630618915404341</v>
      </c>
      <c r="G82" s="4">
        <f t="shared" si="21"/>
        <v>-6.3507307645045534</v>
      </c>
      <c r="H82" s="4">
        <f t="shared" si="21"/>
        <v>-19.275392702922584</v>
      </c>
      <c r="I82" s="4">
        <f t="shared" si="21"/>
        <v>-19.016327050230345</v>
      </c>
      <c r="J82" s="4">
        <f t="shared" si="21"/>
        <v>0.61708484776765316</v>
      </c>
      <c r="K82" s="4">
        <f t="shared" si="21"/>
        <v>-3.6851756378593388</v>
      </c>
      <c r="L82" s="4">
        <f t="shared" si="21"/>
        <v>-4.8959012575686991</v>
      </c>
      <c r="M82" s="4">
        <f t="shared" si="21"/>
        <v>-1.2992504962929952</v>
      </c>
      <c r="N82" s="4">
        <f t="shared" si="21"/>
        <v>-4.4251854868629854</v>
      </c>
      <c r="O82" s="4">
        <f t="shared" si="21"/>
        <v>-10.472572839977385</v>
      </c>
      <c r="P82" s="18"/>
      <c r="Q82" s="4">
        <f>IFERROR(Q81/Q10, 0)</f>
        <v>-1.0201407035158527</v>
      </c>
    </row>
    <row r="83" spans="1:17" x14ac:dyDescent="0.25">
      <c r="A83" s="5"/>
      <c r="B83" s="6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25">
      <c r="A84" s="25"/>
      <c r="B84" s="6" t="s">
        <v>125</v>
      </c>
      <c r="C84" s="6"/>
      <c r="D84" s="3">
        <v>2331.5700000000002</v>
      </c>
      <c r="E84" s="3">
        <v>6510.77</v>
      </c>
      <c r="F84" s="3">
        <v>2546.6</v>
      </c>
      <c r="G84" s="3">
        <v>4202.3999999999996</v>
      </c>
      <c r="H84" s="3">
        <v>-3900.6</v>
      </c>
      <c r="I84" s="3">
        <v>2154.34</v>
      </c>
      <c r="J84" s="3">
        <v>5107.41</v>
      </c>
      <c r="K84" s="3">
        <v>2603.31</v>
      </c>
      <c r="L84" s="3">
        <v>1319.33</v>
      </c>
      <c r="M84" s="3">
        <v>1120.05</v>
      </c>
      <c r="N84" s="3">
        <v>2038</v>
      </c>
      <c r="O84" s="3">
        <v>1209</v>
      </c>
      <c r="Q84" s="2">
        <f>SUM(OSRRefD28_0x)+IFERROR(SUM(OSRRefE28_0x),0)</f>
        <v>27242.179999999997</v>
      </c>
    </row>
    <row r="85" spans="1:17" x14ac:dyDescent="0.25">
      <c r="A85" s="5"/>
      <c r="B85" s="6"/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ht="15.75" thickBot="1" x14ac:dyDescent="0.3">
      <c r="A86" s="6"/>
      <c r="B86" s="17" t="s">
        <v>124</v>
      </c>
      <c r="C86" s="17"/>
      <c r="D86" s="7">
        <f t="shared" ref="D86:O86" si="22">IFERROR(+D81-D84, 0)</f>
        <v>-39855.65</v>
      </c>
      <c r="E86" s="7">
        <f t="shared" si="22"/>
        <v>98206.11</v>
      </c>
      <c r="F86" s="7">
        <f t="shared" si="22"/>
        <v>-24972.679999999993</v>
      </c>
      <c r="G86" s="7">
        <f t="shared" si="22"/>
        <v>-70871.799999999974</v>
      </c>
      <c r="H86" s="7">
        <f t="shared" si="22"/>
        <v>-26899.550000000003</v>
      </c>
      <c r="I86" s="7">
        <f t="shared" si="22"/>
        <v>-26054.250000000004</v>
      </c>
      <c r="J86" s="7">
        <f t="shared" si="22"/>
        <v>13143.799999999992</v>
      </c>
      <c r="K86" s="7">
        <f t="shared" si="22"/>
        <v>-18972.159999999996</v>
      </c>
      <c r="L86" s="7">
        <f t="shared" si="22"/>
        <v>-11830.829999999996</v>
      </c>
      <c r="M86" s="7">
        <f t="shared" si="22"/>
        <v>-5930.46</v>
      </c>
      <c r="N86" s="7">
        <f t="shared" si="22"/>
        <v>-16198.593557961554</v>
      </c>
      <c r="O86" s="7">
        <f t="shared" si="22"/>
        <v>-19012.373827961554</v>
      </c>
      <c r="Q86" s="7">
        <f>IFERROR(+Q81-Q84, 0)</f>
        <v>-149248.43738592311</v>
      </c>
    </row>
    <row r="87" spans="1:17" ht="15.75" thickTop="1" x14ac:dyDescent="0.25">
      <c r="A87" s="5"/>
      <c r="B87" s="5"/>
      <c r="C87" s="5"/>
      <c r="D87" s="4">
        <f t="shared" ref="D87:O87" si="23">IFERROR(D86/D10, 0)</f>
        <v>-8.2212703723490943</v>
      </c>
      <c r="E87" s="4">
        <f t="shared" si="23"/>
        <v>2.0664412099333669</v>
      </c>
      <c r="F87" s="4">
        <f t="shared" si="23"/>
        <v>-2.7427555969493542</v>
      </c>
      <c r="G87" s="4">
        <f t="shared" si="23"/>
        <v>-6.7510390163375362</v>
      </c>
      <c r="H87" s="4">
        <f t="shared" si="23"/>
        <v>-16.834313786845236</v>
      </c>
      <c r="I87" s="4">
        <f t="shared" si="23"/>
        <v>-20.730460451460445</v>
      </c>
      <c r="J87" s="4">
        <f t="shared" si="23"/>
        <v>0.44440011495613052</v>
      </c>
      <c r="K87" s="4">
        <f t="shared" si="23"/>
        <v>-4.2712677939848822</v>
      </c>
      <c r="L87" s="4">
        <f t="shared" si="23"/>
        <v>-5.5104005589194207</v>
      </c>
      <c r="M87" s="4">
        <f t="shared" si="23"/>
        <v>-1.601766397925698</v>
      </c>
      <c r="N87" s="4">
        <f t="shared" si="23"/>
        <v>-5.0620604868629862</v>
      </c>
      <c r="O87" s="4">
        <f t="shared" si="23"/>
        <v>-11.18374931056562</v>
      </c>
      <c r="P87" s="18"/>
      <c r="Q87" s="4">
        <f>IFERROR(Q86/Q10, 0)</f>
        <v>-1.2479229276898067</v>
      </c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.75" thickBot="1" x14ac:dyDescent="0.3">
      <c r="A90" s="6"/>
      <c r="B90" s="17" t="s">
        <v>292</v>
      </c>
      <c r="C90" s="17"/>
      <c r="D90" s="7">
        <f t="shared" ref="D90:O90" si="24">IFERROR(SUM(D86:D89), 0)</f>
        <v>-39863.87127037235</v>
      </c>
      <c r="E90" s="7">
        <f t="shared" si="24"/>
        <v>98208.176441209929</v>
      </c>
      <c r="F90" s="7">
        <f t="shared" si="24"/>
        <v>-24975.422755596941</v>
      </c>
      <c r="G90" s="7">
        <f t="shared" si="24"/>
        <v>-70878.551039016311</v>
      </c>
      <c r="H90" s="7">
        <f t="shared" si="24"/>
        <v>-26916.38431378685</v>
      </c>
      <c r="I90" s="7">
        <f t="shared" si="24"/>
        <v>-26074.980460451465</v>
      </c>
      <c r="J90" s="7">
        <f t="shared" si="24"/>
        <v>13144.244400114949</v>
      </c>
      <c r="K90" s="7">
        <f t="shared" si="24"/>
        <v>-18976.431267793982</v>
      </c>
      <c r="L90" s="7">
        <f t="shared" si="24"/>
        <v>-11836.340400558916</v>
      </c>
      <c r="M90" s="7">
        <f t="shared" si="24"/>
        <v>-5932.0617663979256</v>
      </c>
      <c r="N90" s="7">
        <f t="shared" si="24"/>
        <v>-16203.655618448418</v>
      </c>
      <c r="O90" s="7">
        <f t="shared" si="24"/>
        <v>-19023.55757727212</v>
      </c>
      <c r="Q90" s="7">
        <f>IFERROR(SUM(Q86:Q89), 0)</f>
        <v>-149249.68530885081</v>
      </c>
    </row>
    <row r="91" spans="1:17" ht="15.75" thickTop="1" x14ac:dyDescent="0.25">
      <c r="A91" s="5"/>
      <c r="C91" s="5"/>
      <c r="D91" s="4">
        <f t="shared" ref="D91:O91" si="25">IFERROR(D90/D10, 0)</f>
        <v>-8.2229662244186308</v>
      </c>
      <c r="E91" s="4">
        <f t="shared" si="25"/>
        <v>2.0664846917419233</v>
      </c>
      <c r="F91" s="4">
        <f t="shared" si="25"/>
        <v>-2.743056834472303</v>
      </c>
      <c r="G91" s="4">
        <f t="shared" si="25"/>
        <v>-6.75168210043869</v>
      </c>
      <c r="H91" s="4">
        <f t="shared" si="25"/>
        <v>-16.844849060508697</v>
      </c>
      <c r="I91" s="4">
        <f t="shared" si="25"/>
        <v>-20.746954957751338</v>
      </c>
      <c r="J91" s="4">
        <f t="shared" si="25"/>
        <v>0.44441514040251384</v>
      </c>
      <c r="K91" s="4">
        <f t="shared" si="25"/>
        <v>-4.2722293992300377</v>
      </c>
      <c r="L91" s="4">
        <f t="shared" si="25"/>
        <v>-5.5129671171676371</v>
      </c>
      <c r="M91" s="4">
        <f t="shared" si="25"/>
        <v>-1.6021990212961488</v>
      </c>
      <c r="N91" s="4">
        <f t="shared" si="25"/>
        <v>-5.0636423807651303</v>
      </c>
      <c r="O91" s="4">
        <f t="shared" si="25"/>
        <v>-11.19032798663066</v>
      </c>
      <c r="P91" s="18"/>
      <c r="Q91" s="4">
        <f>IFERROR(Q90/Q10, 0)</f>
        <v>-1.2479333620478525</v>
      </c>
    </row>
    <row r="92" spans="1:17" x14ac:dyDescent="0.25">
      <c r="A92" s="5"/>
      <c r="B92" s="27">
        <v>44330.012769791669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Q92" s="13"/>
    </row>
    <row r="93" spans="1:17" x14ac:dyDescent="0.25">
      <c r="A93" s="5"/>
      <c r="B93" s="31" t="s">
        <v>54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A94" s="5"/>
      <c r="B94" s="26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219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SUM(OSRRefE11x_0)</f>
        <v>92413</v>
      </c>
      <c r="O10" s="3">
        <f>SUM(OSRRefE11x_1)</f>
        <v>270035</v>
      </c>
      <c r="P10" s="24"/>
      <c r="Q10" s="3">
        <f>SUM(OSRRefG11x)</f>
        <v>2785231.8999999994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v>82083</v>
      </c>
      <c r="O11" s="2">
        <v>239851</v>
      </c>
      <c r="Q11" s="2">
        <f>SUM(OSRRefD11_0x)+IFERROR(SUM(OSRRefE11_0x),0)</f>
        <v>319025.89</v>
      </c>
    </row>
    <row r="12" spans="1:18" s="9" customFormat="1" hidden="1" outlineLevel="1" x14ac:dyDescent="0.25">
      <c r="A12" s="23"/>
      <c r="B12" s="10" t="str">
        <f>CONCATENATE("          ","4081", " - ","TAXABLE SALES-ELECTRONICS")</f>
        <v xml:space="preserve">          4081 - TAXABLE SALES-ELECTRONICS</v>
      </c>
      <c r="C12" s="22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/>
      <c r="O12" s="2"/>
      <c r="Q12" s="2">
        <f>SUM(OSRRefD11_1x)+IFERROR(SUM(OSRRefE11_1x),0)</f>
        <v>62096.070000000007</v>
      </c>
    </row>
    <row r="13" spans="1:18" s="9" customFormat="1" hidden="1" outlineLevel="1" x14ac:dyDescent="0.25">
      <c r="A13" s="23"/>
      <c r="B13" s="10" t="str">
        <f>CONCATENATE("          ","4082", " - ","TAXABLE SALES-COMPUTER HARDWAR")</f>
        <v xml:space="preserve">          4082 - TAXABLE SALES-COMPUTER HARDWAR</v>
      </c>
      <c r="C13" s="22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/>
      <c r="O13" s="2"/>
      <c r="Q13" s="2">
        <f>SUM(OSRRefD11_2x)+IFERROR(SUM(OSRRefE11_2x),0)</f>
        <v>2012047.63</v>
      </c>
    </row>
    <row r="14" spans="1:18" s="9" customFormat="1" hidden="1" outlineLevel="1" x14ac:dyDescent="0.25">
      <c r="A14" s="23"/>
      <c r="B14" s="10" t="str">
        <f>CONCATENATE("          ","4083", " - ","TAXABLE SALES-COMPUTER EQUIPME")</f>
        <v xml:space="preserve">          4083 - TAXABLE SALES-COMPUTER EQUIPME</v>
      </c>
      <c r="C14" s="22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/>
      <c r="O14" s="2"/>
      <c r="Q14" s="2">
        <f>SUM(OSRRefD11_3x)+IFERROR(SUM(OSRRefE11_3x),0)</f>
        <v>126932.94</v>
      </c>
    </row>
    <row r="15" spans="1:18" s="9" customFormat="1" hidden="1" outlineLevel="1" x14ac:dyDescent="0.25">
      <c r="A15" s="23"/>
      <c r="B15" s="10" t="str">
        <f>CONCATENATE("          ","4085", " - ","TAXABLE SALES-SOFTWARE")</f>
        <v xml:space="preserve">          4085 - TAXABLE SALES-SOFTWARE</v>
      </c>
      <c r="C15" s="22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/>
      <c r="O15" s="2"/>
      <c r="Q15" s="2">
        <f>SUM(OSRRefD11_4x)+IFERROR(SUM(OSRRefE11_4x),0)</f>
        <v>4870.7900000000009</v>
      </c>
    </row>
    <row r="16" spans="1:18" s="9" customFormat="1" hidden="1" outlineLevel="1" x14ac:dyDescent="0.25">
      <c r="A16" s="23"/>
      <c r="B16" s="10" t="str">
        <f>CONCATENATE("          ","4086", " - ","TAXABLE SALES-COMPUTER SUPPLIE")</f>
        <v xml:space="preserve">          4086 - TAXABLE SALES-COMPUTER SUPPLIE</v>
      </c>
      <c r="C16" s="22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/>
      <c r="O16" s="2"/>
      <c r="Q16" s="2">
        <f>SUM(OSRRefD11_5x)+IFERROR(SUM(OSRRefE11_5x),0)</f>
        <v>65269.630000000005</v>
      </c>
    </row>
    <row r="17" spans="1:17" s="9" customFormat="1" hidden="1" outlineLevel="1" x14ac:dyDescent="0.25">
      <c r="A17" s="23"/>
      <c r="B17" s="10" t="str">
        <f>CONCATENATE("          ","4100", " - ","NON-TAXABLE SALES")</f>
        <v xml:space="preserve">          4100 - NON-TAXABLE SALES</v>
      </c>
      <c r="C17" s="22"/>
      <c r="D17" s="2">
        <f t="shared" ref="D17:M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f t="shared" si="0"/>
        <v>0</v>
      </c>
      <c r="N17" s="2">
        <v>10330</v>
      </c>
      <c r="O17" s="2">
        <v>30184</v>
      </c>
      <c r="Q17" s="2">
        <f>SUM(OSRRefD11_6x)+IFERROR(SUM(OSRRefE11_6x),0)</f>
        <v>40514</v>
      </c>
    </row>
    <row r="18" spans="1:17" s="9" customFormat="1" hidden="1" outlineLevel="1" x14ac:dyDescent="0.25">
      <c r="A18" s="23"/>
      <c r="B18" s="10" t="str">
        <f>CONCATENATE("          ","4181", " - ","NON-TAXABLE SALES-ELECTRONICS")</f>
        <v xml:space="preserve">          4181 - NON-TAXABLE SALES-ELECTRONICS</v>
      </c>
      <c r="C18" s="22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>
        <f>--29.99</f>
        <v>29.99</v>
      </c>
      <c r="N18" s="2"/>
      <c r="O18" s="2"/>
      <c r="Q18" s="2">
        <f>SUM(OSRRefD11_7x)+IFERROR(SUM(OSRRefE11_7x),0)</f>
        <v>12508.619999999999</v>
      </c>
    </row>
    <row r="19" spans="1:17" s="9" customFormat="1" hidden="1" outlineLevel="1" x14ac:dyDescent="0.25">
      <c r="A19" s="23"/>
      <c r="B19" s="10" t="str">
        <f>CONCATENATE("          ","4182", " - ","NON-TAXABLE SALES-COMPUTER HAR")</f>
        <v xml:space="preserve">          4182 - NON-TAXABLE SALES-COMPUTER HAR</v>
      </c>
      <c r="C19" s="22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>
        <f>--61075.64</f>
        <v>61075.64</v>
      </c>
      <c r="N19" s="2"/>
      <c r="O19" s="2"/>
      <c r="Q19" s="2">
        <f>SUM(OSRRefD11_8x)+IFERROR(SUM(OSRRefE11_8x),0)</f>
        <v>314490.47000000003</v>
      </c>
    </row>
    <row r="20" spans="1:17" s="9" customFormat="1" hidden="1" outlineLevel="1" x14ac:dyDescent="0.25">
      <c r="A20" s="23"/>
      <c r="B20" s="10" t="str">
        <f>CONCATENATE("          ","4183", " - ","NON-TAXABLE SALES-COMPUTER EQU")</f>
        <v xml:space="preserve">          4183 - NON-TAXABLE SALES-COMPUTER EQU</v>
      </c>
      <c r="C20" s="22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>
        <f>--2879.59</f>
        <v>2879.59</v>
      </c>
      <c r="N20" s="2"/>
      <c r="O20" s="2"/>
      <c r="Q20" s="2">
        <f>SUM(OSRRefD11_9x)+IFERROR(SUM(OSRRefE11_9x),0)</f>
        <v>19486.02</v>
      </c>
    </row>
    <row r="21" spans="1:17" s="9" customFormat="1" hidden="1" outlineLevel="1" x14ac:dyDescent="0.25">
      <c r="A21" s="23"/>
      <c r="B21" s="10" t="str">
        <f>CONCATENATE("          ","4185", " - ","NON-TAXABLE SALES-SOFTWARE")</f>
        <v xml:space="preserve">          4185 - NON-TAXABLE SALES-SOFTWARE</v>
      </c>
      <c r="C21" s="22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>
        <f>--11345.61</f>
        <v>11345.61</v>
      </c>
      <c r="N21" s="2"/>
      <c r="O21" s="2"/>
      <c r="Q21" s="2">
        <f>SUM(OSRRefD11_10x)+IFERROR(SUM(OSRRefE11_10x),0)</f>
        <v>50032.39</v>
      </c>
    </row>
    <row r="22" spans="1:17" s="9" customFormat="1" hidden="1" outlineLevel="1" x14ac:dyDescent="0.25">
      <c r="A22" s="23"/>
      <c r="B22" s="10" t="str">
        <f>CONCATENATE("          ","4186", " - ","NON-TAXABLE SALES-COMPUTER SUP")</f>
        <v xml:space="preserve">          4186 - NON-TAXABLE SALES-COMPUTER SUP</v>
      </c>
      <c r="C22" s="22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>
        <f>--89.97</f>
        <v>89.97</v>
      </c>
      <c r="N22" s="2"/>
      <c r="O22" s="2"/>
      <c r="Q22" s="2">
        <f>SUM(OSRRefD11_11x)+IFERROR(SUM(OSRRefE11_11x),0)</f>
        <v>3345.1699999999996</v>
      </c>
    </row>
    <row r="23" spans="1:17" s="9" customFormat="1" hidden="1" outlineLevel="1" x14ac:dyDescent="0.25">
      <c r="A23" s="23"/>
      <c r="B23" s="10" t="str">
        <f>CONCATENATE("          ","4281", " - ","SALES RETURN TAXABLE-ELECTRONI")</f>
        <v xml:space="preserve">          4281 - SALES RETURN TAXABLE-ELECTRONI</v>
      </c>
      <c r="C23" s="22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M23" si="2">0</f>
        <v>0</v>
      </c>
      <c r="L23" s="2">
        <f t="shared" si="2"/>
        <v>0</v>
      </c>
      <c r="M23" s="2">
        <f t="shared" si="2"/>
        <v>0</v>
      </c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25">
      <c r="A24" s="23"/>
      <c r="B24" s="10" t="str">
        <f>CONCATENATE("          ","4282", " - ","SALES RETURN TAXABLE-COMPUTER")</f>
        <v xml:space="preserve">          4282 - SALES RETURN TAXABLE-COMPUTER</v>
      </c>
      <c r="C24" s="22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>
        <f>-42380</f>
        <v>-42380</v>
      </c>
      <c r="N24" s="2"/>
      <c r="O24" s="2"/>
      <c r="Q24" s="2">
        <f>SUM(OSRRefD11_13x)+IFERROR(SUM(OSRRefE11_13x),0)</f>
        <v>-215145.16</v>
      </c>
    </row>
    <row r="25" spans="1:17" s="9" customFormat="1" hidden="1" outlineLevel="1" x14ac:dyDescent="0.25">
      <c r="A25" s="23"/>
      <c r="B25" s="10" t="str">
        <f>CONCATENATE("          ","4283", " - ","SALES RETURN TAXABLE-COMPUTER")</f>
        <v xml:space="preserve">          4283 - SALES RETURN TAXABLE-COMPUTER</v>
      </c>
      <c r="C25" s="22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>
        <f>-197.95</f>
        <v>-197.95</v>
      </c>
      <c r="N25" s="2"/>
      <c r="O25" s="2"/>
      <c r="Q25" s="2">
        <f>SUM(OSRRefD11_14x)+IFERROR(SUM(OSRRefE11_14x),0)</f>
        <v>-3947.2</v>
      </c>
    </row>
    <row r="26" spans="1:17" s="9" customFormat="1" hidden="1" outlineLevel="1" x14ac:dyDescent="0.25">
      <c r="A26" s="23"/>
      <c r="B26" s="10" t="str">
        <f>CONCATENATE("          ","4285", " - ","SALES RETURN TAXABLE-SOFTWARE")</f>
        <v xml:space="preserve">          4285 - SALES RETURN TAXABLE-SOFTWARE</v>
      </c>
      <c r="C26" s="22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>
        <f>-99.83</f>
        <v>-99.83</v>
      </c>
      <c r="N26" s="2"/>
      <c r="O26" s="2"/>
      <c r="Q26" s="2">
        <f>SUM(OSRRefD11_15x)+IFERROR(SUM(OSRRefE11_15x),0)</f>
        <v>-1091.79</v>
      </c>
    </row>
    <row r="27" spans="1:17" s="9" customFormat="1" hidden="1" outlineLevel="1" x14ac:dyDescent="0.25">
      <c r="A27" s="23"/>
      <c r="B27" s="10" t="str">
        <f>CONCATENATE("          ","4286", " - ","SALES RETURN TAXABLE-COMPUTER")</f>
        <v xml:space="preserve">          4286 - SALES RETURN TAXABLE-COMPUTER</v>
      </c>
      <c r="C27" s="22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>
        <f t="shared" ref="M27:M28" si="6">0</f>
        <v>0</v>
      </c>
      <c r="N27" s="2"/>
      <c r="O27" s="2"/>
      <c r="Q27" s="2">
        <f>SUM(OSRRefD11_16x)+IFERROR(SUM(OSRRefE11_16x),0)</f>
        <v>-4802.29</v>
      </c>
    </row>
    <row r="28" spans="1:17" s="9" customFormat="1" hidden="1" outlineLevel="1" x14ac:dyDescent="0.25">
      <c r="A28" s="23"/>
      <c r="B28" s="10" t="str">
        <f>CONCATENATE("          ","4381", " - ","SALES RETURN NON TAXABLE-ELECT")</f>
        <v xml:space="preserve">          4381 - SALES RETURN NON TAXABLE-ELECT</v>
      </c>
      <c r="C28" s="22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9" si="7">0</f>
        <v>0</v>
      </c>
      <c r="H28" s="2">
        <f t="shared" si="7"/>
        <v>0</v>
      </c>
      <c r="I28" s="2">
        <f t="shared" si="7"/>
        <v>0</v>
      </c>
      <c r="J28" s="2">
        <f t="shared" si="7"/>
        <v>0</v>
      </c>
      <c r="K28" s="2">
        <f t="shared" si="7"/>
        <v>0</v>
      </c>
      <c r="L28" s="2">
        <f t="shared" si="7"/>
        <v>0</v>
      </c>
      <c r="M28" s="2">
        <f t="shared" si="6"/>
        <v>0</v>
      </c>
      <c r="N28" s="2"/>
      <c r="O28" s="2"/>
      <c r="Q28" s="2">
        <f>SUM(OSRRefD11_17x)+IFERROR(SUM(OSRRefE11_17x),0)</f>
        <v>-5624.15</v>
      </c>
    </row>
    <row r="29" spans="1:17" s="9" customFormat="1" hidden="1" outlineLevel="1" x14ac:dyDescent="0.25">
      <c r="A29" s="23"/>
      <c r="B29" s="10" t="str">
        <f>CONCATENATE("          ","4383", " - ","SALES RETURN NON TAXABLE-COMPU")</f>
        <v xml:space="preserve">          4383 - SALES RETURN NON TAXABLE-COMPU</v>
      </c>
      <c r="C29" s="22"/>
      <c r="D29" s="2">
        <f t="shared" ref="D29:F29" si="8">0</f>
        <v>0</v>
      </c>
      <c r="E29" s="2">
        <f t="shared" si="8"/>
        <v>0</v>
      </c>
      <c r="F29" s="2">
        <f t="shared" si="8"/>
        <v>0</v>
      </c>
      <c r="G29" s="2">
        <f t="shared" si="7"/>
        <v>0</v>
      </c>
      <c r="H29" s="2">
        <f t="shared" si="7"/>
        <v>0</v>
      </c>
      <c r="I29" s="2">
        <f t="shared" si="7"/>
        <v>0</v>
      </c>
      <c r="J29" s="2">
        <f t="shared" si="7"/>
        <v>0</v>
      </c>
      <c r="K29" s="2">
        <f t="shared" si="7"/>
        <v>0</v>
      </c>
      <c r="L29" s="2">
        <f t="shared" si="7"/>
        <v>0</v>
      </c>
      <c r="M29" s="2">
        <f>-14.99</f>
        <v>-14.99</v>
      </c>
      <c r="N29" s="2"/>
      <c r="O29" s="2"/>
      <c r="Q29" s="2">
        <f>SUM(OSRRefD11_18x)+IFERROR(SUM(OSRRefE11_18x),0)</f>
        <v>-14.99</v>
      </c>
    </row>
    <row r="30" spans="1:17" x14ac:dyDescent="0.25">
      <c r="A30" s="5"/>
      <c r="B30" s="6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9" customFormat="1" collapsed="1" x14ac:dyDescent="0.25">
      <c r="A31" s="23"/>
      <c r="B31" s="16" t="s">
        <v>217</v>
      </c>
      <c r="C31" s="22"/>
      <c r="D31" s="3">
        <f>SUM(OSRRefD14x_0)</f>
        <v>183956.00000000003</v>
      </c>
      <c r="E31" s="3">
        <f>SUM(OSRRefD14x_1)</f>
        <v>478464</v>
      </c>
      <c r="F31" s="3">
        <f>SUM(OSRRefD14x_2)</f>
        <v>262132</v>
      </c>
      <c r="G31" s="3">
        <f>SUM(OSRRefD14x_3)</f>
        <v>156723</v>
      </c>
      <c r="H31" s="3">
        <f>SUM(OSRRefD14x_4)</f>
        <v>60363.839999999997</v>
      </c>
      <c r="I31" s="3">
        <f>SUM(OSRRefD14x_5)</f>
        <v>74328</v>
      </c>
      <c r="J31" s="3">
        <f>SUM(OSRRefD14x_6)</f>
        <v>110569</v>
      </c>
      <c r="K31" s="3">
        <f>SUM(OSRRefD14x_7)</f>
        <v>181960</v>
      </c>
      <c r="L31" s="3">
        <f>SUM(OSRRefD14x_8)</f>
        <v>356026</v>
      </c>
      <c r="M31" s="3">
        <f>SUM(OSRRefD14x_9)</f>
        <v>369412.99999999994</v>
      </c>
      <c r="N31" s="3">
        <f>SUM(OSRRefE14x_0)</f>
        <v>85020</v>
      </c>
      <c r="O31" s="3">
        <f>SUM(OSRRefE14x_1)</f>
        <v>248432</v>
      </c>
      <c r="Q31" s="3">
        <f>SUM(OSRRefG14x)</f>
        <v>2567386.8400000003</v>
      </c>
    </row>
    <row r="32" spans="1:17" s="9" customFormat="1" hidden="1" outlineLevel="1" x14ac:dyDescent="0.25">
      <c r="A32" s="23"/>
      <c r="B32" s="10" t="str">
        <f>CONCATENATE("          ","5000", " - ","PURCHASES @ COST")</f>
        <v xml:space="preserve">          5000 - PURCHASES @ COST</v>
      </c>
      <c r="C32" s="22"/>
      <c r="D32" s="2"/>
      <c r="E32" s="2"/>
      <c r="F32" s="2">
        <v>0</v>
      </c>
      <c r="G32" s="2"/>
      <c r="H32" s="2"/>
      <c r="I32" s="2"/>
      <c r="J32" s="2"/>
      <c r="K32" s="2"/>
      <c r="L32" s="2"/>
      <c r="M32" s="2"/>
      <c r="N32" s="2">
        <v>85020</v>
      </c>
      <c r="O32" s="2">
        <v>248432</v>
      </c>
      <c r="Q32" s="2">
        <f>SUM(OSRRefD14_0x)+IFERROR(SUM(OSRRefE14_0x),0)</f>
        <v>333452</v>
      </c>
    </row>
    <row r="33" spans="1:17" s="9" customFormat="1" hidden="1" outlineLevel="1" x14ac:dyDescent="0.25">
      <c r="A33" s="23"/>
      <c r="B33" s="10" t="str">
        <f>CONCATENATE("          ","5081", " - ","PURCHASES @ COST-ELECTRONICS")</f>
        <v xml:space="preserve">          5081 - PURCHASES @ COST-ELECTRONICS</v>
      </c>
      <c r="C33" s="22"/>
      <c r="D33" s="2">
        <v>6676.92</v>
      </c>
      <c r="E33" s="2">
        <v>745.55</v>
      </c>
      <c r="F33" s="2">
        <v>8274.98</v>
      </c>
      <c r="G33" s="2">
        <v>6249.76</v>
      </c>
      <c r="H33" s="2">
        <v>2367.86</v>
      </c>
      <c r="I33" s="2">
        <v>945.44</v>
      </c>
      <c r="J33" s="2">
        <v>313.26</v>
      </c>
      <c r="K33" s="2">
        <v>6584.13</v>
      </c>
      <c r="L33" s="2">
        <v>309.97000000000003</v>
      </c>
      <c r="M33" s="2">
        <v>-19.5</v>
      </c>
      <c r="N33" s="2"/>
      <c r="O33" s="2"/>
      <c r="Q33" s="2">
        <f>SUM(OSRRefD14_1x)+IFERROR(SUM(OSRRefE14_1x),0)</f>
        <v>32448.37</v>
      </c>
    </row>
    <row r="34" spans="1:17" s="9" customFormat="1" hidden="1" outlineLevel="1" x14ac:dyDescent="0.25">
      <c r="A34" s="23"/>
      <c r="B34" s="10" t="str">
        <f>CONCATENATE("          ","5082", " - ","PURCHASES @ COST-COMPUTER HARD")</f>
        <v xml:space="preserve">          5082 - PURCHASES @ COST-COMPUTER HARD</v>
      </c>
      <c r="C34" s="22"/>
      <c r="D34" s="2">
        <v>186472.57</v>
      </c>
      <c r="E34" s="2">
        <v>56751.23</v>
      </c>
      <c r="F34" s="2">
        <v>470149.41</v>
      </c>
      <c r="G34" s="2">
        <v>175404.87</v>
      </c>
      <c r="H34" s="2">
        <v>71242.03</v>
      </c>
      <c r="I34" s="2">
        <v>20916.71</v>
      </c>
      <c r="J34" s="2">
        <v>98264.71</v>
      </c>
      <c r="K34" s="2">
        <v>184376.31</v>
      </c>
      <c r="L34" s="2">
        <v>132715.92000000001</v>
      </c>
      <c r="M34" s="2">
        <v>277047.03999999998</v>
      </c>
      <c r="N34" s="2"/>
      <c r="O34" s="2"/>
      <c r="Q34" s="2">
        <f>SUM(OSRRefD14_2x)+IFERROR(SUM(OSRRefE14_2x),0)</f>
        <v>1673340.8</v>
      </c>
    </row>
    <row r="35" spans="1:17" s="9" customFormat="1" hidden="1" outlineLevel="1" x14ac:dyDescent="0.25">
      <c r="A35" s="23"/>
      <c r="B35" s="10" t="str">
        <f>CONCATENATE("          ","5083", " - ","PURCHASES @ COST-COMPUTER EQUI")</f>
        <v xml:space="preserve">          5083 - PURCHASES @ COST-COMPUTER EQUI</v>
      </c>
      <c r="C35" s="22"/>
      <c r="D35" s="2">
        <v>29938.3</v>
      </c>
      <c r="E35" s="2">
        <v>7340.55</v>
      </c>
      <c r="F35" s="2">
        <v>24155.15</v>
      </c>
      <c r="G35" s="2">
        <v>11838.95</v>
      </c>
      <c r="H35" s="2">
        <v>2620.17</v>
      </c>
      <c r="I35" s="2">
        <v>5833.72</v>
      </c>
      <c r="J35" s="2">
        <v>8829.83</v>
      </c>
      <c r="K35" s="2">
        <v>8631.6</v>
      </c>
      <c r="L35" s="2">
        <v>6015.06</v>
      </c>
      <c r="M35" s="2">
        <v>14312.16</v>
      </c>
      <c r="N35" s="2"/>
      <c r="O35" s="2"/>
      <c r="Q35" s="2">
        <f>SUM(OSRRefD14_3x)+IFERROR(SUM(OSRRefE14_3x),0)</f>
        <v>119515.49</v>
      </c>
    </row>
    <row r="36" spans="1:17" s="9" customFormat="1" hidden="1" outlineLevel="1" x14ac:dyDescent="0.25">
      <c r="A36" s="23"/>
      <c r="B36" s="10" t="str">
        <f>CONCATENATE("          ","5085", " - ","PURCHASES @ COST-SOFTWARE")</f>
        <v xml:space="preserve">          5085 - PURCHASES @ COST-SOFTWARE</v>
      </c>
      <c r="C36" s="22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/>
      <c r="O36" s="2"/>
      <c r="Q36" s="2">
        <f>SUM(OSRRefD14_4x)+IFERROR(SUM(OSRRefE14_4x),0)</f>
        <v>37910.879999999997</v>
      </c>
    </row>
    <row r="37" spans="1:17" s="9" customFormat="1" hidden="1" outlineLevel="1" x14ac:dyDescent="0.25">
      <c r="A37" s="23"/>
      <c r="B37" s="10" t="str">
        <f>CONCATENATE("          ","5086", " - ","PURCHASES @ COST-COMPUTER SUPP")</f>
        <v xml:space="preserve">          5086 - PURCHASES @ COST-COMPUTER SUPP</v>
      </c>
      <c r="C37" s="22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/>
      <c r="O37" s="2"/>
      <c r="Q37" s="2">
        <f>SUM(OSRRefD14_5x)+IFERROR(SUM(OSRRefE14_5x),0)</f>
        <v>23679.39</v>
      </c>
    </row>
    <row r="38" spans="1:17" s="9" customFormat="1" hidden="1" outlineLevel="1" x14ac:dyDescent="0.25">
      <c r="A38" s="23"/>
      <c r="B38" s="10" t="str">
        <f>CONCATENATE("          ","5200", " - ","PURCHASES OFFSET")</f>
        <v xml:space="preserve">          5200 - PURCHASES OFFSET</v>
      </c>
      <c r="C38" s="22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/>
      <c r="O38" s="2"/>
      <c r="Q38" s="2">
        <f>SUM(OSRRefD14_6x)+IFERROR(SUM(OSRRefE14_6x),0)</f>
        <v>-1883381.08</v>
      </c>
    </row>
    <row r="39" spans="1:17" s="9" customFormat="1" hidden="1" outlineLevel="1" x14ac:dyDescent="0.25">
      <c r="A39" s="23"/>
      <c r="B39" s="10" t="str">
        <f>CONCATENATE("          ","5300", " - ","COG$ OFFSET")</f>
        <v xml:space="preserve">          5300 - COG$ OFFSET</v>
      </c>
      <c r="C39" s="22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/>
      <c r="O39" s="2"/>
      <c r="Q39" s="2">
        <f>SUM(OSRRefD14_7x)+IFERROR(SUM(OSRRefE14_7x),0)</f>
        <v>2229989</v>
      </c>
    </row>
    <row r="40" spans="1:17" s="9" customFormat="1" hidden="1" outlineLevel="1" x14ac:dyDescent="0.25">
      <c r="A40" s="23"/>
      <c r="B40" s="10" t="str">
        <f>CONCATENATE("          ","5500", " - ","FREIGHT-IN")</f>
        <v xml:space="preserve">          5500 - FREIGHT-IN</v>
      </c>
      <c r="C40" s="22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/>
      <c r="O40" s="2"/>
      <c r="Q40" s="2">
        <f>SUM(OSRRefD14_8x)+IFERROR(SUM(OSRRefE14_8x),0)</f>
        <v>0</v>
      </c>
    </row>
    <row r="41" spans="1:17" s="9" customFormat="1" hidden="1" outlineLevel="1" x14ac:dyDescent="0.25">
      <c r="A41" s="23"/>
      <c r="B41" s="10" t="str">
        <f>CONCATENATE("          ","5581", " - ","FREIGHT-IN-ELECTRONICS")</f>
        <v xml:space="preserve">          5581 - FREIGHT-IN-ELECTRONICS</v>
      </c>
      <c r="C41" s="22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/>
      <c r="Q41" s="2">
        <f>SUM(OSRRefD14_9x)+IFERROR(SUM(OSRRefE14_9x),0)</f>
        <v>31</v>
      </c>
    </row>
    <row r="42" spans="1:17" s="9" customFormat="1" hidden="1" outlineLevel="1" x14ac:dyDescent="0.25">
      <c r="A42" s="23"/>
      <c r="B42" s="10" t="str">
        <f>CONCATENATE("          ","5582", " - ","FREIGHT-IN-COMPUTER HARDWARE")</f>
        <v xml:space="preserve">          5582 - FREIGHT-IN-COMPUTER HARDWARE</v>
      </c>
      <c r="C42" s="22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/>
      <c r="O42" s="2"/>
      <c r="Q42" s="2">
        <f>SUM(OSRRefD14_10x)+IFERROR(SUM(OSRRefE14_10x),0)</f>
        <v>125</v>
      </c>
    </row>
    <row r="43" spans="1:17" s="9" customFormat="1" hidden="1" outlineLevel="1" x14ac:dyDescent="0.25">
      <c r="A43" s="23"/>
      <c r="B43" s="10" t="str">
        <f>CONCATENATE("          ","5583", " - ","FREIGHT-IN-COMPUTER EQUIPMENT")</f>
        <v xml:space="preserve">          5583 - FREIGHT-IN-COMPUTER EQUIPMENT</v>
      </c>
      <c r="C43" s="22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Q43" s="2">
        <f>SUM(OSRRefD14_11x)+IFERROR(SUM(OSRRefE14_11x),0)</f>
        <v>242.45999999999998</v>
      </c>
    </row>
    <row r="44" spans="1:17" s="9" customFormat="1" hidden="1" outlineLevel="1" x14ac:dyDescent="0.25">
      <c r="A44" s="23"/>
      <c r="B44" s="10" t="str">
        <f>CONCATENATE("          ","5585", " - ","FREIGHT-IN-SOFTWARE")</f>
        <v xml:space="preserve">          5585 - FREIGHT-IN-SOFTWARE</v>
      </c>
      <c r="C44" s="22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Q44" s="2">
        <f>SUM(OSRRefD14_12x)+IFERROR(SUM(OSRRefE14_12x),0)</f>
        <v>9.41</v>
      </c>
    </row>
    <row r="45" spans="1:17" s="9" customFormat="1" hidden="1" outlineLevel="1" x14ac:dyDescent="0.25">
      <c r="A45" s="23"/>
      <c r="B45" s="10" t="str">
        <f>CONCATENATE("          ","5586", " - ","FREIGHT-IN-COMPUTER SUPPLIES")</f>
        <v xml:space="preserve">          5586 - FREIGHT-IN-COMPUTER SUPPLIES</v>
      </c>
      <c r="C45" s="22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SUM(OSRRefD14_13x)+IFERROR(SUM(OSRRefE14_13x),0)</f>
        <v>24.12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105</v>
      </c>
      <c r="C47" s="17"/>
      <c r="D47" s="8">
        <f t="shared" ref="D47:O47" si="9">IFERROR(+D10-D31, 0)</f>
        <v>24011.069999999978</v>
      </c>
      <c r="E47" s="8">
        <f t="shared" si="9"/>
        <v>13207.120000000054</v>
      </c>
      <c r="F47" s="8">
        <f t="shared" si="9"/>
        <v>1514.539999999979</v>
      </c>
      <c r="G47" s="8">
        <f t="shared" si="9"/>
        <v>16113.800000000047</v>
      </c>
      <c r="H47" s="8">
        <f t="shared" si="9"/>
        <v>-582.46999999999389</v>
      </c>
      <c r="I47" s="8">
        <f t="shared" si="9"/>
        <v>5113.6199999999808</v>
      </c>
      <c r="J47" s="8">
        <f t="shared" si="9"/>
        <v>18622.810000000012</v>
      </c>
      <c r="K47" s="8">
        <f t="shared" si="9"/>
        <v>3974.8700000000244</v>
      </c>
      <c r="L47" s="8">
        <f t="shared" si="9"/>
        <v>73059.260000000009</v>
      </c>
      <c r="M47" s="8">
        <f t="shared" si="9"/>
        <v>33814.44</v>
      </c>
      <c r="N47" s="8">
        <f t="shared" si="9"/>
        <v>7393</v>
      </c>
      <c r="O47" s="8">
        <f t="shared" si="9"/>
        <v>21603</v>
      </c>
      <c r="Q47" s="8">
        <f>IFERROR(+Q10-Q31, 0)</f>
        <v>217845.05999999912</v>
      </c>
    </row>
    <row r="48" spans="1:17" s="6" customFormat="1" x14ac:dyDescent="0.25">
      <c r="B48" s="16"/>
      <c r="C48" s="16"/>
      <c r="D48" s="4">
        <f t="shared" ref="D48:O48" si="10">IFERROR(D47/D10, 0)</f>
        <v>0.1154561152397828</v>
      </c>
      <c r="E48" s="4">
        <f t="shared" si="10"/>
        <v>2.6861695679827709E-2</v>
      </c>
      <c r="F48" s="4">
        <f t="shared" si="10"/>
        <v>5.7445851555646401E-3</v>
      </c>
      <c r="G48" s="4">
        <f t="shared" si="10"/>
        <v>9.3231302592966553E-2</v>
      </c>
      <c r="H48" s="4">
        <f t="shared" si="10"/>
        <v>-9.7433364273852175E-3</v>
      </c>
      <c r="I48" s="4">
        <f t="shared" si="10"/>
        <v>6.4369533249699365E-2</v>
      </c>
      <c r="J48" s="4">
        <f t="shared" si="10"/>
        <v>0.14414853387378046</v>
      </c>
      <c r="K48" s="4">
        <f t="shared" si="10"/>
        <v>2.1377754479297101E-2</v>
      </c>
      <c r="L48" s="4">
        <f t="shared" si="10"/>
        <v>0.17026746619075195</v>
      </c>
      <c r="M48" s="4">
        <f t="shared" si="10"/>
        <v>8.3859471468509209E-2</v>
      </c>
      <c r="N48" s="4">
        <f t="shared" si="10"/>
        <v>7.9999567160464441E-2</v>
      </c>
      <c r="O48" s="4">
        <f t="shared" si="10"/>
        <v>8.0000740644731241E-2</v>
      </c>
      <c r="P48" s="18"/>
      <c r="Q48" s="4">
        <f>IFERROR(Q47/Q10, 0)</f>
        <v>7.8214334684303721E-2</v>
      </c>
    </row>
    <row r="49" spans="1:17" x14ac:dyDescent="0.25">
      <c r="A49" s="5"/>
      <c r="B49" s="6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5" customFormat="1" x14ac:dyDescent="0.25">
      <c r="A50" s="6"/>
      <c r="B50" s="16" t="s">
        <v>254</v>
      </c>
      <c r="C50" s="6"/>
      <c r="D50" s="14">
        <f>SUM(OSRRefD20x_0)</f>
        <v>11779.660000000002</v>
      </c>
      <c r="E50" s="14">
        <f>SUM(OSRRefD20x_1)</f>
        <v>15135.81</v>
      </c>
      <c r="F50" s="14">
        <f>SUM(OSRRefD20x_2)</f>
        <v>12326.230000000003</v>
      </c>
      <c r="G50" s="14">
        <f>SUM(OSRRefD20x_3)</f>
        <v>14663.089999999998</v>
      </c>
      <c r="H50" s="14">
        <f>SUM(OSRRefD20x_4)</f>
        <v>12478.91</v>
      </c>
      <c r="I50" s="14">
        <f>SUM(OSRRefD20x_5)</f>
        <v>13842.730000000003</v>
      </c>
      <c r="J50" s="14">
        <f>SUM(OSRRefD20x_6)</f>
        <v>14258.260000000002</v>
      </c>
      <c r="K50" s="14">
        <f>SUM(OSRRefD20x_7)</f>
        <v>12623.33</v>
      </c>
      <c r="L50" s="14">
        <f>SUM(OSRRefD20x_8)</f>
        <v>16950.63</v>
      </c>
      <c r="M50" s="14">
        <f>SUM(OSRRefD20x_9)</f>
        <v>13637.129999999997</v>
      </c>
      <c r="N50" s="14">
        <f>SUM(OSRRefE20x_0)</f>
        <v>14655.622298846156</v>
      </c>
      <c r="O50" s="14">
        <f>SUM(OSRRefE20x_1)</f>
        <v>16429.988840446153</v>
      </c>
      <c r="Q50" s="14">
        <f>SUM(OSRRefG20x)</f>
        <v>168781.3911392923</v>
      </c>
    </row>
    <row r="51" spans="1:17" s="34" customFormat="1" collapsed="1" x14ac:dyDescent="0.25">
      <c r="A51" s="35"/>
      <c r="B51" s="11" t="str">
        <f>CONCATENATE("     ","*Benefits                                         ")</f>
        <v xml:space="preserve">     *Benefits                                         </v>
      </c>
      <c r="C51" s="11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SUM(OSRRefE21_0x_0)</f>
        <v>2324.7880988461538</v>
      </c>
      <c r="O51" s="1">
        <f>SUM(OSRRefE21_0x_1)</f>
        <v>2406.5494404461542</v>
      </c>
      <c r="Q51" s="2">
        <f>SUM(OSRRefD20_0x)+IFERROR(SUM(OSRRefE20_0x),0)</f>
        <v>34309.837539292304</v>
      </c>
    </row>
    <row r="52" spans="1:17" s="34" customFormat="1" hidden="1" outlineLevel="1" x14ac:dyDescent="0.25">
      <c r="A52" s="35"/>
      <c r="B52" s="10" t="str">
        <f>CONCATENATE("          ","6111", " - ","F.I.C.A.")</f>
        <v xml:space="preserve">          6111 - F.I.C.A.</v>
      </c>
      <c r="C52" s="11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425.68281899999999</v>
      </c>
      <c r="O52" s="2">
        <v>569.52248459999998</v>
      </c>
      <c r="P52" s="9"/>
      <c r="Q52" s="2">
        <f>SUM(OSRRefD21_0_0x)+IFERROR(SUM(OSRRefE21_0_0x),0)</f>
        <v>6409.0353035999997</v>
      </c>
    </row>
    <row r="53" spans="1:17" s="34" customFormat="1" hidden="1" outlineLevel="1" x14ac:dyDescent="0.25">
      <c r="A53" s="35"/>
      <c r="B53" s="10" t="str">
        <f>CONCATENATE("          ","6112", " - ","COMPENSATION INSURANCE")</f>
        <v xml:space="preserve">          6112 - COMPENSATION INSURANCE</v>
      </c>
      <c r="C53" s="11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160.14821000000001</v>
      </c>
      <c r="O53" s="2">
        <v>137.67366999999999</v>
      </c>
      <c r="P53" s="9"/>
      <c r="Q53" s="2">
        <f>SUM(OSRRefD21_0_1x)+IFERROR(SUM(OSRRefE21_0_1x),0)</f>
        <v>1832.25188</v>
      </c>
    </row>
    <row r="54" spans="1:17" s="34" customFormat="1" hidden="1" outlineLevel="1" x14ac:dyDescent="0.25">
      <c r="A54" s="35"/>
      <c r="B54" s="10" t="str">
        <f>CONCATENATE("          ","6113", " - ","GROUP INSURANCE")</f>
        <v xml:space="preserve">          6113 - GROUP INSURANCE</v>
      </c>
      <c r="C54" s="11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946.34615384615404</v>
      </c>
      <c r="O54" s="2">
        <v>946.34615384615404</v>
      </c>
      <c r="P54" s="9"/>
      <c r="Q54" s="2">
        <f>SUM(OSRRefD21_0_2x)+IFERROR(SUM(OSRRefE21_0_2x),0)</f>
        <v>12322.872307692311</v>
      </c>
    </row>
    <row r="55" spans="1:17" s="34" customFormat="1" hidden="1" outlineLevel="1" x14ac:dyDescent="0.25">
      <c r="A55" s="35"/>
      <c r="B55" s="10" t="str">
        <f>CONCATENATE("          ","6114", " - ","STATE UNEMPLOYMENT INSURANCE")</f>
        <v xml:space="preserve">          6114 - STATE UNEMPLOYMENT INSURANCE</v>
      </c>
      <c r="C55" s="11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22.507315999999999</v>
      </c>
      <c r="O55" s="2">
        <v>19.348731999999998</v>
      </c>
      <c r="P55" s="9"/>
      <c r="Q55" s="2">
        <f>SUM(OSRRefD21_0_3x)+IFERROR(SUM(OSRRefE21_0_3x),0)</f>
        <v>272.20604800000001</v>
      </c>
    </row>
    <row r="56" spans="1:17" s="34" customFormat="1" hidden="1" outlineLevel="1" x14ac:dyDescent="0.25">
      <c r="A56" s="35"/>
      <c r="B56" s="10" t="str">
        <f>CONCATENATE("          ","6115", " - ","P.E.R.S.")</f>
        <v xml:space="preserve">          6115 - P.E.R.S.</v>
      </c>
      <c r="C56" s="11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196.27780000000001</v>
      </c>
      <c r="O56" s="2">
        <v>196.27780000000001</v>
      </c>
      <c r="P56" s="9"/>
      <c r="Q56" s="2">
        <f>SUM(OSRRefD21_0_4x)+IFERROR(SUM(OSRRefE21_0_4x),0)</f>
        <v>2333.1756</v>
      </c>
    </row>
    <row r="57" spans="1:17" s="34" customFormat="1" hidden="1" outlineLevel="1" x14ac:dyDescent="0.25">
      <c r="A57" s="35"/>
      <c r="B57" s="10" t="str">
        <f>CONCATENATE("          ","6116", " - ","EDUCATIONAL BENEFITS")</f>
        <v xml:space="preserve">          6116 - EDUCATIONAL BENEFITS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SUM(OSRRefD21_0_5x)+IFERROR(SUM(OSRRefE21_0_5x),0)</f>
        <v>0</v>
      </c>
    </row>
    <row r="58" spans="1:17" s="34" customFormat="1" hidden="1" outlineLevel="1" x14ac:dyDescent="0.25">
      <c r="A58" s="35"/>
      <c r="B58" s="10" t="str">
        <f>CONCATENATE("          ","6117", " - ","RETIREMENT STAFF HOURLY")</f>
        <v xml:space="preserve">          6117 - RETIREMENT STAFF HOURLY</v>
      </c>
      <c r="C58" s="11"/>
      <c r="D58" s="2">
        <v>247.54</v>
      </c>
      <c r="E58" s="2">
        <v>190.54</v>
      </c>
      <c r="F58" s="2">
        <v>185.73</v>
      </c>
      <c r="G58" s="2">
        <v>155.75</v>
      </c>
      <c r="H58" s="2">
        <v>154.52000000000001</v>
      </c>
      <c r="I58" s="2">
        <v>170.96</v>
      </c>
      <c r="J58" s="2">
        <v>176</v>
      </c>
      <c r="K58" s="2">
        <v>176</v>
      </c>
      <c r="L58" s="2">
        <v>264</v>
      </c>
      <c r="M58" s="2">
        <v>174.9</v>
      </c>
      <c r="N58" s="2"/>
      <c r="O58" s="2"/>
      <c r="P58" s="9"/>
      <c r="Q58" s="2">
        <f>SUM(OSRRefD21_0_6x)+IFERROR(SUM(OSRRefE21_0_6x),0)</f>
        <v>1895.94</v>
      </c>
    </row>
    <row r="59" spans="1:17" s="34" customFormat="1" hidden="1" outlineLevel="1" x14ac:dyDescent="0.25">
      <c r="A59" s="35"/>
      <c r="B59" s="10" t="str">
        <f>CONCATENATE("          ","6118", " - ","VACATION")</f>
        <v xml:space="preserve">          6118 - VACATION</v>
      </c>
      <c r="C59" s="11"/>
      <c r="D59" s="2">
        <v>257.8</v>
      </c>
      <c r="E59" s="2">
        <v>257.8</v>
      </c>
      <c r="F59" s="2">
        <v>257.8</v>
      </c>
      <c r="G59" s="2">
        <v>386.7</v>
      </c>
      <c r="H59" s="2">
        <v>262.39999999999998</v>
      </c>
      <c r="I59" s="2">
        <v>267.04000000000002</v>
      </c>
      <c r="J59" s="2">
        <v>267.04000000000002</v>
      </c>
      <c r="K59" s="2">
        <v>267.04000000000002</v>
      </c>
      <c r="L59" s="2">
        <v>267.04000000000002</v>
      </c>
      <c r="M59" s="2">
        <v>400.56</v>
      </c>
      <c r="N59" s="2">
        <v>194.749</v>
      </c>
      <c r="O59" s="2">
        <v>194.749</v>
      </c>
      <c r="P59" s="9"/>
      <c r="Q59" s="2">
        <f>SUM(OSRRefD21_0_7x)+IFERROR(SUM(OSRRefE21_0_7x),0)</f>
        <v>3280.7179999999998</v>
      </c>
    </row>
    <row r="60" spans="1:17" s="34" customFormat="1" hidden="1" outlineLevel="1" x14ac:dyDescent="0.25">
      <c r="A60" s="35"/>
      <c r="B60" s="10" t="str">
        <f>CONCATENATE("          ","6119", " - ","SICK LEAVE")</f>
        <v xml:space="preserve">          6119 - SICK LEAVE</v>
      </c>
      <c r="C60" s="11"/>
      <c r="D60" s="2">
        <v>256.57</v>
      </c>
      <c r="E60" s="2">
        <v>256.57</v>
      </c>
      <c r="F60" s="2">
        <v>256.57</v>
      </c>
      <c r="G60" s="2">
        <v>384.85</v>
      </c>
      <c r="H60" s="2">
        <v>262.10000000000002</v>
      </c>
      <c r="I60" s="2">
        <v>267.63</v>
      </c>
      <c r="J60" s="2">
        <v>267.63</v>
      </c>
      <c r="K60" s="2">
        <v>267.63</v>
      </c>
      <c r="L60" s="2">
        <v>267.63</v>
      </c>
      <c r="M60" s="2">
        <v>401.45</v>
      </c>
      <c r="N60" s="2">
        <v>204.07679999999999</v>
      </c>
      <c r="O60" s="2">
        <v>167.63159999999999</v>
      </c>
      <c r="P60" s="9"/>
      <c r="Q60" s="2">
        <f>SUM(OSRRefD21_0_8x)+IFERROR(SUM(OSRRefE21_0_8x),0)</f>
        <v>3260.3384000000001</v>
      </c>
    </row>
    <row r="61" spans="1:17" s="34" customFormat="1" hidden="1" outlineLevel="1" x14ac:dyDescent="0.25">
      <c r="A61" s="35"/>
      <c r="B61" s="10" t="str">
        <f>CONCATENATE("          ","6156", " - ","EMPLOYEE MEALS")</f>
        <v xml:space="preserve">          6156 - EMPLOYEE MEALS</v>
      </c>
      <c r="C61" s="11"/>
      <c r="D61" s="2">
        <v>178.83</v>
      </c>
      <c r="E61" s="2">
        <v>196.22</v>
      </c>
      <c r="F61" s="2">
        <v>281.77</v>
      </c>
      <c r="G61" s="2">
        <v>223.68</v>
      </c>
      <c r="H61" s="2">
        <v>242.38</v>
      </c>
      <c r="I61" s="2">
        <v>366.04</v>
      </c>
      <c r="J61" s="2">
        <v>180.76</v>
      </c>
      <c r="K61" s="2">
        <v>175</v>
      </c>
      <c r="L61" s="2">
        <v>235.74</v>
      </c>
      <c r="M61" s="2">
        <v>272.88</v>
      </c>
      <c r="N61" s="2">
        <v>175</v>
      </c>
      <c r="O61" s="2">
        <v>175</v>
      </c>
      <c r="P61" s="9"/>
      <c r="Q61" s="2">
        <f>SUM(OSRRefD21_0_9x)+IFERROR(SUM(OSRRefE21_0_9x),0)</f>
        <v>2703.3</v>
      </c>
    </row>
    <row r="62" spans="1:17" s="34" customFormat="1" collapsed="1" x14ac:dyDescent="0.25">
      <c r="A62" s="35"/>
      <c r="B62" s="11" t="str">
        <f>CONCATENATE("     ","*Payroll                                          ")</f>
        <v xml:space="preserve">     *Payroll                                          </v>
      </c>
      <c r="C62" s="11"/>
      <c r="D62" s="1">
        <f>SUM(OSRRefD21_1x_0)</f>
        <v>6417.82</v>
      </c>
      <c r="E62" s="1">
        <f>SUM(OSRRefD21_1x_1)</f>
        <v>9389.67</v>
      </c>
      <c r="F62" s="1">
        <f>SUM(OSRRefD21_1x_2)</f>
        <v>7451.68</v>
      </c>
      <c r="G62" s="1">
        <f>SUM(OSRRefD21_1x_3)</f>
        <v>8904.4</v>
      </c>
      <c r="H62" s="1">
        <f>SUM(OSRRefD21_1x_4)</f>
        <v>7316.2099999999991</v>
      </c>
      <c r="I62" s="1">
        <f>SUM(OSRRefD21_1x_5)</f>
        <v>7948.3600000000006</v>
      </c>
      <c r="J62" s="1">
        <f>SUM(OSRRefD21_1x_6)</f>
        <v>9963.16</v>
      </c>
      <c r="K62" s="1">
        <f>SUM(OSRRefD21_1x_7)</f>
        <v>8014.16</v>
      </c>
      <c r="L62" s="1">
        <f>SUM(OSRRefD21_1x_8)</f>
        <v>8405.5</v>
      </c>
      <c r="M62" s="1">
        <f>SUM(OSRRefD21_1x_9)</f>
        <v>8263.98</v>
      </c>
      <c r="N62" s="1">
        <f>SUM(OSRRefE21_1x_0)</f>
        <v>8257.8342000000011</v>
      </c>
      <c r="O62" s="1">
        <f>SUM(OSRRefE21_1x_1)</f>
        <v>7079.4394000000002</v>
      </c>
      <c r="Q62" s="2">
        <f>SUM(OSRRefD20_1x)+IFERROR(SUM(OSRRefE20_1x),0)</f>
        <v>97412.213600000003</v>
      </c>
    </row>
    <row r="63" spans="1:17" s="34" customFormat="1" hidden="1" outlineLevel="1" x14ac:dyDescent="0.25">
      <c r="A63" s="35"/>
      <c r="B63" s="10" t="str">
        <f>CONCATENATE("          ","6001", " - ","ADMINISTRATIVE SALARIES")</f>
        <v xml:space="preserve">          6001 - ADMINISTRATIVE SALARIES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0</v>
      </c>
      <c r="O63" s="2">
        <v>0</v>
      </c>
      <c r="P63" s="9"/>
      <c r="Q63" s="2">
        <f>SUM(OSRRefD21_1_0x)+IFERROR(SUM(OSRRefE21_1_0x),0)</f>
        <v>0</v>
      </c>
    </row>
    <row r="64" spans="1:17" s="34" customFormat="1" hidden="1" outlineLevel="1" x14ac:dyDescent="0.25">
      <c r="A64" s="35"/>
      <c r="B64" s="10" t="str">
        <f>CONCATENATE("          ","6002", " - ","STAFF SALARIES")</f>
        <v xml:space="preserve">          6002 - STAFF SALARIES</v>
      </c>
      <c r="C64" s="11"/>
      <c r="D64" s="2">
        <v>2625.07</v>
      </c>
      <c r="E64" s="2">
        <v>2054.0700000000002</v>
      </c>
      <c r="F64" s="2">
        <v>2282.3000000000002</v>
      </c>
      <c r="G64" s="2">
        <v>2395.9899999999998</v>
      </c>
      <c r="H64" s="2">
        <v>1939.96</v>
      </c>
      <c r="I64" s="2">
        <v>1939.96</v>
      </c>
      <c r="J64" s="2">
        <v>2928.3</v>
      </c>
      <c r="K64" s="2">
        <v>2357.3000000000002</v>
      </c>
      <c r="L64" s="2">
        <v>2357.3000000000002</v>
      </c>
      <c r="M64" s="2">
        <v>2395.9899999999998</v>
      </c>
      <c r="N64" s="2">
        <v>2168.1849999999999</v>
      </c>
      <c r="O64" s="2">
        <v>2168.1849999999999</v>
      </c>
      <c r="P64" s="9"/>
      <c r="Q64" s="2">
        <f>SUM(OSRRefD21_1_1x)+IFERROR(SUM(OSRRefE21_1_1x),0)</f>
        <v>27612.609999999997</v>
      </c>
    </row>
    <row r="65" spans="1:17" s="34" customFormat="1" hidden="1" outlineLevel="1" x14ac:dyDescent="0.25">
      <c r="A65" s="35"/>
      <c r="B65" s="10" t="str">
        <f>CONCATENATE("          ","6003", " - ","STAFF HOURLY-9 MONTH")</f>
        <v xml:space="preserve">          6003 - STAFF HOURLY-9 MONTH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SUM(OSRRefD21_1_2x)+IFERROR(SUM(OSRRefE21_1_2x),0)</f>
        <v>0</v>
      </c>
    </row>
    <row r="66" spans="1:17" s="34" customFormat="1" hidden="1" outlineLevel="1" x14ac:dyDescent="0.25">
      <c r="A66" s="35"/>
      <c r="B66" s="10" t="str">
        <f>CONCATENATE("          ","6004", " - ","STAFF HOURLY")</f>
        <v xml:space="preserve">          6004 - STAFF HOURLY</v>
      </c>
      <c r="C66" s="11"/>
      <c r="D66" s="2">
        <v>3023.75</v>
      </c>
      <c r="E66" s="2">
        <v>3810.96</v>
      </c>
      <c r="F66" s="2">
        <v>3714.5</v>
      </c>
      <c r="G66" s="2">
        <v>3871.43</v>
      </c>
      <c r="H66" s="2">
        <v>3395.52</v>
      </c>
      <c r="I66" s="2">
        <v>3520</v>
      </c>
      <c r="J66" s="2">
        <v>3344</v>
      </c>
      <c r="K66" s="2">
        <v>3520</v>
      </c>
      <c r="L66" s="2">
        <v>3520</v>
      </c>
      <c r="M66" s="2">
        <v>4790.5</v>
      </c>
      <c r="N66" s="2">
        <v>3088.12</v>
      </c>
      <c r="O66" s="2">
        <v>3088.12</v>
      </c>
      <c r="P66" s="9"/>
      <c r="Q66" s="2">
        <f>SUM(OSRRefD21_1_3x)+IFERROR(SUM(OSRRefE21_1_3x),0)</f>
        <v>42686.9</v>
      </c>
    </row>
    <row r="67" spans="1:17" s="34" customFormat="1" hidden="1" outlineLevel="1" x14ac:dyDescent="0.25">
      <c r="A67" s="35"/>
      <c r="B67" s="10" t="str">
        <f>CONCATENATE("          ","6005", " - ","TEMPORARY WAGES-HOURLY")</f>
        <v xml:space="preserve">          6005 - TEMPORARY WAGES-HOURLY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SUM(OSRRefD21_1_4x)+IFERROR(SUM(OSRRefE21_1_4x),0)</f>
        <v>0</v>
      </c>
    </row>
    <row r="68" spans="1:17" s="34" customFormat="1" hidden="1" outlineLevel="1" x14ac:dyDescent="0.25">
      <c r="A68" s="35"/>
      <c r="B68" s="10" t="str">
        <f>CONCATENATE("          ","6006", " - ","TEMPORARY PART TIME")</f>
        <v xml:space="preserve">          6006 - TEMPORARY PART TIME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SUM(OSRRefD21_1_5x)+IFERROR(SUM(OSRRefE21_1_5x),0)</f>
        <v>0</v>
      </c>
    </row>
    <row r="69" spans="1:17" s="34" customFormat="1" hidden="1" outlineLevel="1" x14ac:dyDescent="0.25">
      <c r="A69" s="35"/>
      <c r="B69" s="10" t="str">
        <f>CONCATENATE("          ","6007", " - ","STUDENT HOURLY")</f>
        <v xml:space="preserve">          6007 - STUDENT HOURLY</v>
      </c>
      <c r="C69" s="11"/>
      <c r="D69" s="2">
        <v>769</v>
      </c>
      <c r="E69" s="2">
        <v>3524.64</v>
      </c>
      <c r="F69" s="2">
        <v>1454.88</v>
      </c>
      <c r="G69" s="2">
        <v>2636.98</v>
      </c>
      <c r="H69" s="2">
        <v>1980.73</v>
      </c>
      <c r="I69" s="2">
        <v>2488.4</v>
      </c>
      <c r="J69" s="2">
        <v>3690.86</v>
      </c>
      <c r="K69" s="2">
        <v>2136.86</v>
      </c>
      <c r="L69" s="2">
        <v>2528.1999999999998</v>
      </c>
      <c r="M69" s="2">
        <v>1077.49</v>
      </c>
      <c r="N69" s="2">
        <v>0</v>
      </c>
      <c r="O69" s="2">
        <v>1823.1343999999999</v>
      </c>
      <c r="P69" s="9"/>
      <c r="Q69" s="2">
        <f>SUM(OSRRefD21_1_6x)+IFERROR(SUM(OSRRefE21_1_6x),0)</f>
        <v>24111.1744</v>
      </c>
    </row>
    <row r="70" spans="1:17" s="34" customFormat="1" hidden="1" outlineLevel="1" x14ac:dyDescent="0.25">
      <c r="A70" s="35"/>
      <c r="B70" s="10" t="str">
        <f>CONCATENATE("          ","6008", " - ","STUDENT HOURLY-FICA EXEMPT")</f>
        <v xml:space="preserve">          6008 - STUDENT HOURLY-FICA EXEMPT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3001.5291999999999</v>
      </c>
      <c r="O70" s="2">
        <v>0</v>
      </c>
      <c r="P70" s="9"/>
      <c r="Q70" s="2">
        <f>SUM(OSRRefD21_1_7x)+IFERROR(SUM(OSRRefE21_1_7x),0)</f>
        <v>3001.5291999999999</v>
      </c>
    </row>
    <row r="71" spans="1:17" s="34" customFormat="1" hidden="1" outlineLevel="1" x14ac:dyDescent="0.25">
      <c r="A71" s="35"/>
      <c r="B71" s="10" t="str">
        <f>CONCATENATE("          ","6009", " - ","TEMPORARY-SEASONAL")</f>
        <v xml:space="preserve">          6009 - TEMPORARY-SEASONAL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SUM(OSRRefD21_1_8x)+IFERROR(SUM(OSRRefE21_1_8x),0)</f>
        <v>0</v>
      </c>
    </row>
    <row r="72" spans="1:17" s="34" customFormat="1" hidden="1" outlineLevel="1" x14ac:dyDescent="0.25">
      <c r="A72" s="35"/>
      <c r="B72" s="10" t="str">
        <f>CONCATENATE("          ","6010", " - ","GRATUITY")</f>
        <v xml:space="preserve">          6010 - GRATUITY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SUM(OSRRefD21_1_9x)+IFERROR(SUM(OSRRefE21_1_9x),0)</f>
        <v>0</v>
      </c>
    </row>
    <row r="73" spans="1:17" s="34" customFormat="1" collapsed="1" x14ac:dyDescent="0.25">
      <c r="A73" s="35"/>
      <c r="B73" s="11" t="str">
        <f>CONCATENATE("     ","Advertising/Promo                                 ")</f>
        <v xml:space="preserve">     Advertising/Promo                                 </v>
      </c>
      <c r="C73" s="11"/>
      <c r="D73" s="1">
        <f>SUM(OSRRefD21_2x_0)</f>
        <v>149.65</v>
      </c>
      <c r="E73" s="1">
        <f>SUM(OSRRefD21_2x_1)</f>
        <v>99.23</v>
      </c>
      <c r="F73" s="1">
        <f>SUM(OSRRefD21_2x_2)</f>
        <v>0</v>
      </c>
      <c r="G73" s="1">
        <f>SUM(OSRRefD21_2x_3)</f>
        <v>0</v>
      </c>
      <c r="H73" s="1">
        <f>SUM(OSRRefD21_2x_4)</f>
        <v>0</v>
      </c>
      <c r="I73" s="1">
        <f>SUM(OSRRefD21_2x_5)</f>
        <v>0</v>
      </c>
      <c r="J73" s="1">
        <f>SUM(OSRRefD21_2x_6)</f>
        <v>350.05</v>
      </c>
      <c r="K73" s="1">
        <f>SUM(OSRRefD21_2x_7)</f>
        <v>0</v>
      </c>
      <c r="L73" s="1">
        <f>SUM(OSRRefD21_2x_8)</f>
        <v>0</v>
      </c>
      <c r="M73" s="1">
        <f>SUM(OSRRefD21_2x_9)</f>
        <v>26.46</v>
      </c>
      <c r="N73" s="1">
        <f>SUM(OSRRefE21_2x_0)</f>
        <v>150</v>
      </c>
      <c r="O73" s="1">
        <f>SUM(OSRRefE21_2x_1)</f>
        <v>150</v>
      </c>
      <c r="Q73" s="2">
        <f>SUM(OSRRefD20_2x)+IFERROR(SUM(OSRRefE20_2x),0)</f>
        <v>925.3900000000001</v>
      </c>
    </row>
    <row r="74" spans="1:17" s="34" customFormat="1" hidden="1" outlineLevel="1" x14ac:dyDescent="0.25">
      <c r="A74" s="35"/>
      <c r="B74" s="10" t="str">
        <f>CONCATENATE("          ","6362", " - ","ADVERTISING EXPENSE")</f>
        <v xml:space="preserve">          6362 - ADVERTISING EXPENSE</v>
      </c>
      <c r="C74" s="11"/>
      <c r="D74" s="2">
        <v>149.65</v>
      </c>
      <c r="E74" s="2">
        <v>99.23</v>
      </c>
      <c r="F74" s="2"/>
      <c r="G74" s="2"/>
      <c r="H74" s="2"/>
      <c r="I74" s="2"/>
      <c r="J74" s="2">
        <v>350.05</v>
      </c>
      <c r="K74" s="2"/>
      <c r="L74" s="2"/>
      <c r="M74" s="2">
        <v>26.46</v>
      </c>
      <c r="N74" s="2">
        <v>150</v>
      </c>
      <c r="O74" s="2">
        <v>150</v>
      </c>
      <c r="P74" s="9"/>
      <c r="Q74" s="2">
        <f>SUM(OSRRefD21_2_0x)+IFERROR(SUM(OSRRefE21_2_0x),0)</f>
        <v>925.3900000000001</v>
      </c>
    </row>
    <row r="75" spans="1:17" s="34" customFormat="1" collapsed="1" x14ac:dyDescent="0.25">
      <c r="A75" s="35"/>
      <c r="B75" s="11" t="str">
        <f>CONCATENATE("     ","Depreciation                                      ")</f>
        <v xml:space="preserve">     Depreciation                                      </v>
      </c>
      <c r="C75" s="11"/>
      <c r="D75" s="1">
        <f>SUM(OSRRefD21_3x_0)</f>
        <v>280.44</v>
      </c>
      <c r="E75" s="1">
        <f>SUM(OSRRefD21_3x_1)</f>
        <v>280.44</v>
      </c>
      <c r="F75" s="1">
        <f>SUM(OSRRefD21_3x_2)</f>
        <v>280.44</v>
      </c>
      <c r="G75" s="1">
        <f>SUM(OSRRefD21_3x_3)</f>
        <v>280.44</v>
      </c>
      <c r="H75" s="1">
        <f>SUM(OSRRefD21_3x_4)</f>
        <v>280.44</v>
      </c>
      <c r="I75" s="1">
        <f>SUM(OSRRefD21_3x_5)</f>
        <v>280.44</v>
      </c>
      <c r="J75" s="1">
        <f>SUM(OSRRefD21_3x_6)</f>
        <v>280.44</v>
      </c>
      <c r="K75" s="1">
        <f>SUM(OSRRefD21_3x_7)</f>
        <v>280.44</v>
      </c>
      <c r="L75" s="1">
        <f>SUM(OSRRefD21_3x_8)</f>
        <v>280.44</v>
      </c>
      <c r="M75" s="1">
        <f>SUM(OSRRefD21_3x_9)</f>
        <v>280.44</v>
      </c>
      <c r="N75" s="1">
        <f>SUM(OSRRefE21_3x_0)</f>
        <v>300</v>
      </c>
      <c r="O75" s="1">
        <f>SUM(OSRRefE21_3x_1)</f>
        <v>300</v>
      </c>
      <c r="Q75" s="2">
        <f>SUM(OSRRefD20_3x)+IFERROR(SUM(OSRRefE20_3x),0)</f>
        <v>3404.4</v>
      </c>
    </row>
    <row r="76" spans="1:17" s="34" customFormat="1" hidden="1" outlineLevel="1" x14ac:dyDescent="0.25">
      <c r="A76" s="35"/>
      <c r="B76" s="10" t="str">
        <f>CONCATENATE("          ","6322", " - ","EQUIPMENT DEPRECIATION EXPENSE")</f>
        <v xml:space="preserve">          6322 - EQUIPMENT DEPRECIATION EXPENSE</v>
      </c>
      <c r="C76" s="11"/>
      <c r="D76" s="2">
        <v>280.44</v>
      </c>
      <c r="E76" s="2">
        <v>280.44</v>
      </c>
      <c r="F76" s="2">
        <v>280.44</v>
      </c>
      <c r="G76" s="2">
        <v>280.44</v>
      </c>
      <c r="H76" s="2">
        <v>280.44</v>
      </c>
      <c r="I76" s="2">
        <v>280.44</v>
      </c>
      <c r="J76" s="2">
        <v>280.44</v>
      </c>
      <c r="K76" s="2">
        <v>280.44</v>
      </c>
      <c r="L76" s="2">
        <v>280.44</v>
      </c>
      <c r="M76" s="2">
        <v>280.44</v>
      </c>
      <c r="N76" s="2">
        <v>300</v>
      </c>
      <c r="O76" s="2">
        <v>300</v>
      </c>
      <c r="P76" s="9"/>
      <c r="Q76" s="2">
        <f>SUM(OSRRefD21_3_0x)+IFERROR(SUM(OSRRefE21_3_0x),0)</f>
        <v>3404.4</v>
      </c>
    </row>
    <row r="77" spans="1:17" s="34" customFormat="1" collapsed="1" x14ac:dyDescent="0.25">
      <c r="A77" s="35"/>
      <c r="B77" s="11" t="str">
        <f>CONCATENATE("     ","Discounts and Markdowns                           ")</f>
        <v xml:space="preserve">     Discounts and Markdowns                           </v>
      </c>
      <c r="C77" s="11"/>
      <c r="D77" s="1">
        <f>SUM(OSRRefD21_4x_0)</f>
        <v>0</v>
      </c>
      <c r="E77" s="1">
        <f>SUM(OSRRefD21_4x_1)</f>
        <v>0</v>
      </c>
      <c r="F77" s="1">
        <f>SUM(OSRRefD21_4x_2)</f>
        <v>0</v>
      </c>
      <c r="G77" s="1">
        <f>SUM(OSRRefD21_4x_3)</f>
        <v>0</v>
      </c>
      <c r="H77" s="1">
        <f>SUM(OSRRefD21_4x_4)</f>
        <v>0</v>
      </c>
      <c r="I77" s="1">
        <f>SUM(OSRRefD21_4x_5)</f>
        <v>0</v>
      </c>
      <c r="J77" s="1">
        <f>SUM(OSRRefD21_4x_6)</f>
        <v>0</v>
      </c>
      <c r="K77" s="1">
        <f>SUM(OSRRefD21_4x_7)</f>
        <v>0</v>
      </c>
      <c r="L77" s="1">
        <f>SUM(OSRRefD21_4x_8)</f>
        <v>0</v>
      </c>
      <c r="M77" s="1">
        <f>SUM(OSRRefD21_4x_9)</f>
        <v>0</v>
      </c>
      <c r="N77" s="1">
        <f>SUM(OSRRefE21_4x_0)</f>
        <v>1493</v>
      </c>
      <c r="O77" s="1">
        <f>SUM(OSRRefE21_4x_1)</f>
        <v>4364</v>
      </c>
      <c r="Q77" s="2">
        <f>SUM(OSRRefD20_4x)+IFERROR(SUM(OSRRefE20_4x),0)</f>
        <v>5857</v>
      </c>
    </row>
    <row r="78" spans="1:17" s="34" customFormat="1" hidden="1" outlineLevel="1" x14ac:dyDescent="0.25">
      <c r="A78" s="35"/>
      <c r="B78" s="10" t="str">
        <f>CONCATENATE("          ","6382", " - ","DISCOUNTS/MARK DOWNS")</f>
        <v xml:space="preserve">          6382 - DISCOUNTS/MARK DOWNS</v>
      </c>
      <c r="C78" s="11"/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1493</v>
      </c>
      <c r="O78" s="2">
        <v>4364</v>
      </c>
      <c r="P78" s="9"/>
      <c r="Q78" s="2">
        <f>SUM(OSRRefD21_4_0x)+IFERROR(SUM(OSRRefE21_4_0x),0)</f>
        <v>5857</v>
      </c>
    </row>
    <row r="79" spans="1:17" s="34" customFormat="1" collapsed="1" x14ac:dyDescent="0.25">
      <c r="A79" s="35"/>
      <c r="B79" s="11" t="str">
        <f>CONCATENATE("     ","Employees' Appreciation                           ")</f>
        <v xml:space="preserve">     Employees' Appreciation                           </v>
      </c>
      <c r="C79" s="11"/>
      <c r="D79" s="1">
        <f>SUM(OSRRefD21_5x_0)</f>
        <v>0</v>
      </c>
      <c r="E79" s="1">
        <f>SUM(OSRRefD21_5x_1)</f>
        <v>0</v>
      </c>
      <c r="F79" s="1">
        <f>SUM(OSRRefD21_5x_2)</f>
        <v>0</v>
      </c>
      <c r="G79" s="1">
        <f>SUM(OSRRefD21_5x_3)</f>
        <v>0</v>
      </c>
      <c r="H79" s="1">
        <f>SUM(OSRRefD21_5x_4)</f>
        <v>0</v>
      </c>
      <c r="I79" s="1">
        <f>SUM(OSRRefD21_5x_5)</f>
        <v>0</v>
      </c>
      <c r="J79" s="1">
        <f>SUM(OSRRefD21_5x_6)</f>
        <v>0</v>
      </c>
      <c r="K79" s="1">
        <f>SUM(OSRRefD21_5x_7)</f>
        <v>0</v>
      </c>
      <c r="L79" s="1">
        <f>SUM(OSRRefD21_5x_8)</f>
        <v>0</v>
      </c>
      <c r="M79" s="1">
        <f>SUM(OSRRefD21_5x_9)</f>
        <v>0</v>
      </c>
      <c r="N79" s="1">
        <f>SUM(OSRRefE21_5x_0)</f>
        <v>20</v>
      </c>
      <c r="O79" s="1">
        <f>SUM(OSRRefE21_5x_1)</f>
        <v>20</v>
      </c>
      <c r="Q79" s="2">
        <f>SUM(OSRRefD20_5x)+IFERROR(SUM(OSRRefE20_5x),0)</f>
        <v>40</v>
      </c>
    </row>
    <row r="80" spans="1:17" s="34" customFormat="1" hidden="1" outlineLevel="1" x14ac:dyDescent="0.25">
      <c r="A80" s="35"/>
      <c r="B80" s="10" t="str">
        <f>CONCATENATE("          ","6277", " - ","EMPLOYEE APPRECIATION")</f>
        <v xml:space="preserve">          6277 - EMPLOYEE APPRECIATION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>
        <v>20</v>
      </c>
      <c r="O80" s="2">
        <v>20</v>
      </c>
      <c r="P80" s="9"/>
      <c r="Q80" s="2">
        <f>SUM(OSRRefD21_5_0x)+IFERROR(SUM(OSRRefE21_5_0x),0)</f>
        <v>40</v>
      </c>
    </row>
    <row r="81" spans="1:17" s="34" customFormat="1" collapsed="1" x14ac:dyDescent="0.25">
      <c r="A81" s="35"/>
      <c r="B81" s="11" t="str">
        <f>CONCATENATE("     ","Freight out/Postage                               ")</f>
        <v xml:space="preserve">     Freight out/Postage                               </v>
      </c>
      <c r="C81" s="11"/>
      <c r="D81" s="1">
        <f>SUM(OSRRefD21_6x_0)</f>
        <v>10.61</v>
      </c>
      <c r="E81" s="1">
        <f>SUM(OSRRefD21_6x_1)</f>
        <v>179.14000000000001</v>
      </c>
      <c r="F81" s="1">
        <f>SUM(OSRRefD21_6x_2)</f>
        <v>87.509999999999991</v>
      </c>
      <c r="G81" s="1">
        <f>SUM(OSRRefD21_6x_3)</f>
        <v>273.20999999999998</v>
      </c>
      <c r="H81" s="1">
        <f>SUM(OSRRefD21_6x_4)</f>
        <v>277.12</v>
      </c>
      <c r="I81" s="1">
        <f>SUM(OSRRefD21_6x_5)</f>
        <v>43.58</v>
      </c>
      <c r="J81" s="1">
        <f>SUM(OSRRefD21_6x_6)</f>
        <v>122.94</v>
      </c>
      <c r="K81" s="1">
        <f>SUM(OSRRefD21_6x_7)</f>
        <v>88.22</v>
      </c>
      <c r="L81" s="1">
        <f>SUM(OSRRefD21_6x_8)</f>
        <v>531.96</v>
      </c>
      <c r="M81" s="1">
        <f>SUM(OSRRefD21_6x_9)</f>
        <v>26.99</v>
      </c>
      <c r="N81" s="1">
        <f>SUM(OSRRefE21_6x_0)</f>
        <v>100</v>
      </c>
      <c r="O81" s="1">
        <f>SUM(OSRRefE21_6x_1)</f>
        <v>100</v>
      </c>
      <c r="Q81" s="2">
        <f>SUM(OSRRefD20_6x)+IFERROR(SUM(OSRRefE20_6x),0)</f>
        <v>1841.2800000000002</v>
      </c>
    </row>
    <row r="82" spans="1:17" s="34" customFormat="1" hidden="1" outlineLevel="1" x14ac:dyDescent="0.25">
      <c r="A82" s="35"/>
      <c r="B82" s="10" t="str">
        <f>CONCATENATE("          ","6305", " - ","FREIGHT OUT")</f>
        <v xml:space="preserve">          6305 - FREIGHT OUT</v>
      </c>
      <c r="C82" s="11"/>
      <c r="D82" s="2">
        <v>5.61</v>
      </c>
      <c r="E82" s="2">
        <v>175.34</v>
      </c>
      <c r="F82" s="2">
        <v>83.71</v>
      </c>
      <c r="G82" s="2">
        <v>273.20999999999998</v>
      </c>
      <c r="H82" s="2">
        <v>277.12</v>
      </c>
      <c r="I82" s="2">
        <v>43.58</v>
      </c>
      <c r="J82" s="2">
        <v>122.94</v>
      </c>
      <c r="K82" s="2">
        <v>88.22</v>
      </c>
      <c r="L82" s="2">
        <v>531.96</v>
      </c>
      <c r="M82" s="2">
        <v>26.99</v>
      </c>
      <c r="N82" s="2">
        <v>100</v>
      </c>
      <c r="O82" s="2">
        <v>100</v>
      </c>
      <c r="P82" s="9"/>
      <c r="Q82" s="2">
        <f>SUM(OSRRefD21_6_0x)+IFERROR(SUM(OSRRefE21_6_0x),0)</f>
        <v>1828.68</v>
      </c>
    </row>
    <row r="83" spans="1:17" s="34" customFormat="1" hidden="1" outlineLevel="1" x14ac:dyDescent="0.25">
      <c r="A83" s="35"/>
      <c r="B83" s="10" t="str">
        <f>CONCATENATE("          ","6307", " - ","POSTAGE")</f>
        <v xml:space="preserve">          6307 - POSTAGE</v>
      </c>
      <c r="C83" s="11"/>
      <c r="D83" s="2">
        <v>5</v>
      </c>
      <c r="E83" s="2">
        <v>3.8</v>
      </c>
      <c r="F83" s="2">
        <v>3.8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SUM(OSRRefD21_6_1x)+IFERROR(SUM(OSRRefE21_6_1x),0)</f>
        <v>12.600000000000001</v>
      </c>
    </row>
    <row r="84" spans="1:17" s="34" customFormat="1" collapsed="1" x14ac:dyDescent="0.25">
      <c r="A84" s="35"/>
      <c r="B84" s="11" t="str">
        <f>CONCATENATE("     ","General                                           ")</f>
        <v xml:space="preserve">     General                                           </v>
      </c>
      <c r="C84" s="11"/>
      <c r="D84" s="1">
        <f>SUM(OSRRefD21_7x_0)</f>
        <v>-30.15</v>
      </c>
      <c r="E84" s="1">
        <f>SUM(OSRRefD21_7x_1)</f>
        <v>0</v>
      </c>
      <c r="F84" s="1">
        <f>SUM(OSRRefD21_7x_2)</f>
        <v>0</v>
      </c>
      <c r="G84" s="1">
        <f>SUM(OSRRefD21_7x_3)</f>
        <v>0</v>
      </c>
      <c r="H84" s="1">
        <f>SUM(OSRRefD21_7x_4)</f>
        <v>0</v>
      </c>
      <c r="I84" s="1">
        <f>SUM(OSRRefD21_7x_5)</f>
        <v>0</v>
      </c>
      <c r="J84" s="1">
        <f>SUM(OSRRefD21_7x_6)</f>
        <v>0</v>
      </c>
      <c r="K84" s="1">
        <f>SUM(OSRRefD21_7x_7)</f>
        <v>0</v>
      </c>
      <c r="L84" s="1">
        <f>SUM(OSRRefD21_7x_8)</f>
        <v>0</v>
      </c>
      <c r="M84" s="1">
        <f>SUM(OSRRefD21_7x_9)</f>
        <v>0</v>
      </c>
      <c r="N84" s="1">
        <f>SUM(OSRRefE21_7x_0)</f>
        <v>30</v>
      </c>
      <c r="O84" s="1">
        <f>SUM(OSRRefE21_7x_1)</f>
        <v>30</v>
      </c>
      <c r="Q84" s="2">
        <f>SUM(OSRRefD20_7x)+IFERROR(SUM(OSRRefE20_7x),0)</f>
        <v>29.85</v>
      </c>
    </row>
    <row r="85" spans="1:17" s="34" customFormat="1" hidden="1" outlineLevel="1" x14ac:dyDescent="0.25">
      <c r="A85" s="35"/>
      <c r="B85" s="10" t="str">
        <f>CONCATENATE("          ","6279", " - ","GENERAL EXPENSE")</f>
        <v xml:space="preserve">          6279 - GENERAL EXPENSE</v>
      </c>
      <c r="C85" s="11"/>
      <c r="D85" s="2">
        <v>-30.15</v>
      </c>
      <c r="E85" s="2"/>
      <c r="F85" s="2"/>
      <c r="G85" s="2"/>
      <c r="H85" s="2"/>
      <c r="I85" s="2"/>
      <c r="J85" s="2"/>
      <c r="K85" s="2"/>
      <c r="L85" s="2"/>
      <c r="M85" s="2"/>
      <c r="N85" s="2">
        <v>30</v>
      </c>
      <c r="O85" s="2">
        <v>30</v>
      </c>
      <c r="P85" s="9"/>
      <c r="Q85" s="2">
        <f>SUM(OSRRefD21_7_0x)+IFERROR(SUM(OSRRefE21_7_0x),0)</f>
        <v>29.85</v>
      </c>
    </row>
    <row r="86" spans="1:17" s="34" customFormat="1" collapsed="1" x14ac:dyDescent="0.25">
      <c r="A86" s="35"/>
      <c r="B86" s="11" t="str">
        <f>CONCATENATE("     ","Inventory Adjustment                              ")</f>
        <v xml:space="preserve">     Inventory Adjustment                              </v>
      </c>
      <c r="C86" s="11"/>
      <c r="D86" s="1">
        <f>SUM(OSRRefD21_8x_0)</f>
        <v>1250</v>
      </c>
      <c r="E86" s="1">
        <f>SUM(OSRRefD21_8x_1)</f>
        <v>1250</v>
      </c>
      <c r="F86" s="1">
        <f>SUM(OSRRefD21_8x_2)</f>
        <v>1250</v>
      </c>
      <c r="G86" s="1">
        <f>SUM(OSRRefD21_8x_3)</f>
        <v>1250</v>
      </c>
      <c r="H86" s="1">
        <f>SUM(OSRRefD21_8x_4)</f>
        <v>1250</v>
      </c>
      <c r="I86" s="1">
        <f>SUM(OSRRefD21_8x_5)</f>
        <v>1250</v>
      </c>
      <c r="J86" s="1">
        <f>SUM(OSRRefD21_8x_6)</f>
        <v>1250</v>
      </c>
      <c r="K86" s="1">
        <f>SUM(OSRRefD21_8x_7)</f>
        <v>1250</v>
      </c>
      <c r="L86" s="1">
        <f>SUM(OSRRefD21_8x_8)</f>
        <v>1250</v>
      </c>
      <c r="M86" s="1">
        <f>SUM(OSRRefD21_8x_9)</f>
        <v>1250</v>
      </c>
      <c r="N86" s="1">
        <f>SUM(OSRRefE21_8x_0)</f>
        <v>1250</v>
      </c>
      <c r="O86" s="1">
        <f>SUM(OSRRefE21_8x_1)</f>
        <v>1250</v>
      </c>
      <c r="Q86" s="2">
        <f>SUM(OSRRefD20_8x)+IFERROR(SUM(OSRRefE20_8x),0)</f>
        <v>15000</v>
      </c>
    </row>
    <row r="87" spans="1:17" s="34" customFormat="1" hidden="1" outlineLevel="1" x14ac:dyDescent="0.25">
      <c r="A87" s="35"/>
      <c r="B87" s="10" t="str">
        <f>CONCATENATE("          ","6408", " - ","INVENTORY ADJUSTMENT")</f>
        <v xml:space="preserve">          6408 - INVENTORY ADJUSTMENT</v>
      </c>
      <c r="C87" s="11"/>
      <c r="D87" s="2">
        <v>1250</v>
      </c>
      <c r="E87" s="2">
        <v>1250</v>
      </c>
      <c r="F87" s="2">
        <v>1250</v>
      </c>
      <c r="G87" s="2">
        <v>1250</v>
      </c>
      <c r="H87" s="2">
        <v>1250</v>
      </c>
      <c r="I87" s="2">
        <v>1250</v>
      </c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SUM(OSRRefD21_8_0x)+IFERROR(SUM(OSRRefE21_8_0x),0)</f>
        <v>15000</v>
      </c>
    </row>
    <row r="88" spans="1:17" s="34" customFormat="1" collapsed="1" x14ac:dyDescent="0.25">
      <c r="A88" s="35"/>
      <c r="B88" s="11" t="str">
        <f>CONCATENATE("     ","Repair and Maintenance                            ")</f>
        <v xml:space="preserve">     Repair and Maintenance                            </v>
      </c>
      <c r="C88" s="11"/>
      <c r="D88" s="1">
        <f>SUM(OSRRefD21_9x_0)</f>
        <v>0</v>
      </c>
      <c r="E88" s="1">
        <f>SUM(OSRRefD21_9x_1)</f>
        <v>0</v>
      </c>
      <c r="F88" s="1">
        <f>SUM(OSRRefD21_9x_2)</f>
        <v>0</v>
      </c>
      <c r="G88" s="1">
        <f>SUM(OSRRefD21_9x_3)</f>
        <v>0</v>
      </c>
      <c r="H88" s="1">
        <f>SUM(OSRRefD21_9x_4)</f>
        <v>0</v>
      </c>
      <c r="I88" s="1">
        <f>SUM(OSRRefD21_9x_5)</f>
        <v>0</v>
      </c>
      <c r="J88" s="1">
        <f>SUM(OSRRefD21_9x_6)</f>
        <v>0</v>
      </c>
      <c r="K88" s="1">
        <f>SUM(OSRRefD21_9x_7)</f>
        <v>0</v>
      </c>
      <c r="L88" s="1">
        <f>SUM(OSRRefD21_9x_8)</f>
        <v>1550</v>
      </c>
      <c r="M88" s="1">
        <f>SUM(OSRRefD21_9x_9)</f>
        <v>0</v>
      </c>
      <c r="N88" s="1">
        <f>SUM(OSRRefE21_9x_0)</f>
        <v>20</v>
      </c>
      <c r="O88" s="1">
        <f>SUM(OSRRefE21_9x_1)</f>
        <v>20</v>
      </c>
      <c r="Q88" s="2">
        <f>SUM(OSRRefD20_9x)+IFERROR(SUM(OSRRefE20_9x),0)</f>
        <v>1590</v>
      </c>
    </row>
    <row r="89" spans="1:17" s="34" customFormat="1" hidden="1" outlineLevel="1" x14ac:dyDescent="0.25">
      <c r="A89" s="35"/>
      <c r="B89" s="10" t="str">
        <f>CONCATENATE("          ","6371", " - ","COMPUTER SOFTWARE MAINTENANCE")</f>
        <v xml:space="preserve">          6371 - COMPUTER SOFTWARE MAINTENANCE</v>
      </c>
      <c r="C89" s="11"/>
      <c r="D89" s="2"/>
      <c r="E89" s="2"/>
      <c r="F89" s="2"/>
      <c r="G89" s="2"/>
      <c r="H89" s="2"/>
      <c r="I89" s="2"/>
      <c r="J89" s="2"/>
      <c r="K89" s="2"/>
      <c r="L89" s="2">
        <v>1550</v>
      </c>
      <c r="M89" s="2"/>
      <c r="N89" s="2"/>
      <c r="O89" s="2"/>
      <c r="P89" s="9"/>
      <c r="Q89" s="2">
        <f>SUM(OSRRefD21_9_0x)+IFERROR(SUM(OSRRefE21_9_0x),0)</f>
        <v>1550</v>
      </c>
    </row>
    <row r="90" spans="1:17" s="34" customFormat="1" hidden="1" outlineLevel="1" x14ac:dyDescent="0.25">
      <c r="A90" s="35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20</v>
      </c>
      <c r="O90" s="2">
        <v>20</v>
      </c>
      <c r="P90" s="9"/>
      <c r="Q90" s="2">
        <f>SUM(OSRRefD21_9_1x)+IFERROR(SUM(OSRRefE21_9_1x),0)</f>
        <v>40</v>
      </c>
    </row>
    <row r="91" spans="1:17" s="34" customFormat="1" collapsed="1" x14ac:dyDescent="0.25">
      <c r="A91" s="35"/>
      <c r="B91" s="11" t="str">
        <f>CONCATENATE("     ","Subscriptions &amp; Dues                              ")</f>
        <v xml:space="preserve">     Subscriptions &amp; Dues                              </v>
      </c>
      <c r="C91" s="11"/>
      <c r="D91" s="1">
        <f>SUM(OSRRefD21_10x_0)</f>
        <v>0</v>
      </c>
      <c r="E91" s="1">
        <f>SUM(OSRRefD21_10x_1)</f>
        <v>0</v>
      </c>
      <c r="F91" s="1">
        <f>SUM(OSRRefD21_10x_2)</f>
        <v>0</v>
      </c>
      <c r="G91" s="1">
        <f>SUM(OSRRefD21_10x_3)</f>
        <v>0</v>
      </c>
      <c r="H91" s="1">
        <f>SUM(OSRRefD21_10x_4)</f>
        <v>0</v>
      </c>
      <c r="I91" s="1">
        <f>SUM(OSRRefD21_10x_5)</f>
        <v>0</v>
      </c>
      <c r="J91" s="1">
        <f>SUM(OSRRefD21_10x_6)</f>
        <v>0</v>
      </c>
      <c r="K91" s="1">
        <f>SUM(OSRRefD21_10x_7)</f>
        <v>0</v>
      </c>
      <c r="L91" s="1">
        <f>SUM(OSRRefD21_10x_8)</f>
        <v>0</v>
      </c>
      <c r="M91" s="1">
        <f>SUM(OSRRefD21_10x_9)</f>
        <v>142.22</v>
      </c>
      <c r="N91" s="1">
        <f>SUM(OSRRefE21_10x_0)</f>
        <v>0</v>
      </c>
      <c r="O91" s="1">
        <f>SUM(OSRRefE21_10x_1)</f>
        <v>0</v>
      </c>
      <c r="Q91" s="2">
        <f>SUM(OSRRefD20_10x)+IFERROR(SUM(OSRRefE20_10x),0)</f>
        <v>142.22</v>
      </c>
    </row>
    <row r="92" spans="1:17" s="34" customFormat="1" hidden="1" outlineLevel="1" x14ac:dyDescent="0.25">
      <c r="A92" s="35"/>
      <c r="B92" s="10" t="str">
        <f>CONCATENATE("          ","6275", " - ","SUBSCRIPTIONS")</f>
        <v xml:space="preserve">          6275 - SUBSCRIPTIONS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>
        <v>142.22</v>
      </c>
      <c r="N92" s="2"/>
      <c r="O92" s="2"/>
      <c r="P92" s="9"/>
      <c r="Q92" s="2">
        <f>SUM(OSRRefD21_10_0x)+IFERROR(SUM(OSRRefE21_10_0x),0)</f>
        <v>142.22</v>
      </c>
    </row>
    <row r="93" spans="1:17" s="34" customFormat="1" collapsed="1" x14ac:dyDescent="0.25">
      <c r="A93" s="35"/>
      <c r="B93" s="11" t="str">
        <f>CONCATENATE("     ","Supplies                                          ")</f>
        <v xml:space="preserve">     Supplies                                          </v>
      </c>
      <c r="C93" s="11"/>
      <c r="D93" s="1">
        <f>SUM(OSRRefD21_11x_0)</f>
        <v>668.12</v>
      </c>
      <c r="E93" s="1">
        <f>SUM(OSRRefD21_11x_1)</f>
        <v>787.43</v>
      </c>
      <c r="F93" s="1">
        <f>SUM(OSRRefD21_11x_2)</f>
        <v>39.36</v>
      </c>
      <c r="G93" s="1">
        <f>SUM(OSRRefD21_11x_3)</f>
        <v>29.59</v>
      </c>
      <c r="H93" s="1">
        <f>SUM(OSRRefD21_11x_4)</f>
        <v>176.21</v>
      </c>
      <c r="I93" s="1">
        <f>SUM(OSRRefD21_11x_5)</f>
        <v>1052.8599999999999</v>
      </c>
      <c r="J93" s="1">
        <f>SUM(OSRRefD21_11x_6)</f>
        <v>-683.71</v>
      </c>
      <c r="K93" s="1">
        <f>SUM(OSRRefD21_11x_7)</f>
        <v>8.74</v>
      </c>
      <c r="L93" s="1">
        <f>SUM(OSRRefD21_11x_8)</f>
        <v>1733.49</v>
      </c>
      <c r="M93" s="1">
        <f>SUM(OSRRefD21_11x_9)</f>
        <v>19.559999999999999</v>
      </c>
      <c r="N93" s="1">
        <f>SUM(OSRRefE21_11x_0)</f>
        <v>400</v>
      </c>
      <c r="O93" s="1">
        <f>SUM(OSRRefE21_11x_1)</f>
        <v>400</v>
      </c>
      <c r="Q93" s="2">
        <f>SUM(OSRRefD20_11x)+IFERROR(SUM(OSRRefE20_11x),0)</f>
        <v>4631.6499999999996</v>
      </c>
    </row>
    <row r="94" spans="1:17" s="34" customFormat="1" hidden="1" outlineLevel="1" x14ac:dyDescent="0.25">
      <c r="A94" s="35"/>
      <c r="B94" s="10" t="str">
        <f>CONCATENATE("          ","6234", " - ","EXPENDABLE SUPPLIES &amp; EQUIPMEN")</f>
        <v xml:space="preserve">          6234 - EXPENDABLE SUPPLIES &amp; EQUIPMEN</v>
      </c>
      <c r="C94" s="11"/>
      <c r="D94" s="2"/>
      <c r="E94" s="2"/>
      <c r="F94" s="2"/>
      <c r="G94" s="2"/>
      <c r="H94" s="2"/>
      <c r="I94" s="2"/>
      <c r="J94" s="2"/>
      <c r="K94" s="2"/>
      <c r="L94" s="2">
        <v>1733.49</v>
      </c>
      <c r="M94" s="2"/>
      <c r="N94" s="2"/>
      <c r="O94" s="2"/>
      <c r="P94" s="9"/>
      <c r="Q94" s="2">
        <f>SUM(OSRRefD21_11_0x)+IFERROR(SUM(OSRRefE21_11_0x),0)</f>
        <v>1733.49</v>
      </c>
    </row>
    <row r="95" spans="1:17" s="34" customFormat="1" hidden="1" outlineLevel="1" x14ac:dyDescent="0.25">
      <c r="A95" s="35"/>
      <c r="B95" s="10" t="str">
        <f>CONCATENATE("          ","6235", " - ","COVID-19 EXPENSES")</f>
        <v xml:space="preserve">          6235 - COVID-19 EXPENSES</v>
      </c>
      <c r="C95" s="11"/>
      <c r="D95" s="2">
        <v>668.12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9"/>
      <c r="Q95" s="2">
        <f>SUM(OSRRefD21_11_1x)+IFERROR(SUM(OSRRefE21_11_1x),0)</f>
        <v>668.12</v>
      </c>
    </row>
    <row r="96" spans="1:17" s="34" customFormat="1" hidden="1" outlineLevel="1" x14ac:dyDescent="0.25">
      <c r="A96" s="35"/>
      <c r="B96" s="10" t="str">
        <f>CONCATENATE("          ","6241", " - ","OFFICE EXPENSE")</f>
        <v xml:space="preserve">          6241 - OFFICE EXPENSE</v>
      </c>
      <c r="C96" s="11"/>
      <c r="D96" s="2"/>
      <c r="E96" s="2">
        <v>787.43</v>
      </c>
      <c r="F96" s="2">
        <v>39.36</v>
      </c>
      <c r="G96" s="2">
        <v>29.59</v>
      </c>
      <c r="H96" s="2">
        <v>176.21</v>
      </c>
      <c r="I96" s="2">
        <v>1052.8599999999999</v>
      </c>
      <c r="J96" s="2">
        <v>-683.71</v>
      </c>
      <c r="K96" s="2">
        <v>8.74</v>
      </c>
      <c r="L96" s="2"/>
      <c r="M96" s="2">
        <v>19.559999999999999</v>
      </c>
      <c r="N96" s="2">
        <v>150</v>
      </c>
      <c r="O96" s="2">
        <v>150</v>
      </c>
      <c r="P96" s="9"/>
      <c r="Q96" s="2">
        <f>SUM(OSRRefD21_11_2x)+IFERROR(SUM(OSRRefE21_11_2x),0)</f>
        <v>1730.0399999999997</v>
      </c>
    </row>
    <row r="97" spans="1:17" s="34" customFormat="1" hidden="1" outlineLevel="1" x14ac:dyDescent="0.25">
      <c r="A97" s="35"/>
      <c r="B97" s="10" t="str">
        <f>CONCATENATE("          ","6247", " - ","STORE SUPPLIES")</f>
        <v xml:space="preserve">          6247 - STORE SUPPLIES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>
        <v>250</v>
      </c>
      <c r="O97" s="2">
        <v>250</v>
      </c>
      <c r="P97" s="9"/>
      <c r="Q97" s="2">
        <f>SUM(OSRRefD21_11_3x)+IFERROR(SUM(OSRRefE21_11_3x),0)</f>
        <v>500</v>
      </c>
    </row>
    <row r="98" spans="1:17" s="34" customFormat="1" collapsed="1" x14ac:dyDescent="0.25">
      <c r="A98" s="35"/>
      <c r="B98" s="11" t="str">
        <f>CONCATENATE("     ","Telephone/Data Lines                              ")</f>
        <v xml:space="preserve">     Telephone/Data Lines                              </v>
      </c>
      <c r="C98" s="11"/>
      <c r="D98" s="1">
        <f>SUM(OSRRefD21_12x_0)</f>
        <v>304.8</v>
      </c>
      <c r="E98" s="1">
        <f>SUM(OSRRefD21_12x_1)</f>
        <v>306.75</v>
      </c>
      <c r="F98" s="1">
        <f>SUM(OSRRefD21_12x_2)</f>
        <v>300</v>
      </c>
      <c r="G98" s="1">
        <f>SUM(OSRRefD21_12x_3)</f>
        <v>354.3</v>
      </c>
      <c r="H98" s="1">
        <f>SUM(OSRRefD21_12x_4)</f>
        <v>304.5</v>
      </c>
      <c r="I98" s="1">
        <f>SUM(OSRRefD21_12x_5)</f>
        <v>282.95</v>
      </c>
      <c r="J98" s="1">
        <f>SUM(OSRRefD21_12x_6)</f>
        <v>227.45</v>
      </c>
      <c r="K98" s="1">
        <f>SUM(OSRRefD21_12x_7)</f>
        <v>250.65</v>
      </c>
      <c r="L98" s="1">
        <f>SUM(OSRRefD21_12x_8)</f>
        <v>274.85000000000002</v>
      </c>
      <c r="M98" s="1">
        <f>SUM(OSRRefD21_12x_9)</f>
        <v>271.3</v>
      </c>
      <c r="N98" s="1">
        <f>SUM(OSRRefE21_12x_0)</f>
        <v>310</v>
      </c>
      <c r="O98" s="1">
        <f>SUM(OSRRefE21_12x_1)</f>
        <v>310</v>
      </c>
      <c r="Q98" s="2">
        <f>SUM(OSRRefD20_12x)+IFERROR(SUM(OSRRefE20_12x),0)</f>
        <v>3497.55</v>
      </c>
    </row>
    <row r="99" spans="1:17" s="34" customFormat="1" hidden="1" outlineLevel="1" x14ac:dyDescent="0.25">
      <c r="A99" s="35"/>
      <c r="B99" s="10" t="str">
        <f>CONCATENATE("          ","6309", " - ","TELEPHONE")</f>
        <v xml:space="preserve">          6309 - TELEPHONE</v>
      </c>
      <c r="C99" s="11"/>
      <c r="D99" s="2">
        <v>304.8</v>
      </c>
      <c r="E99" s="2">
        <v>306.75</v>
      </c>
      <c r="F99" s="2">
        <v>300</v>
      </c>
      <c r="G99" s="2">
        <v>354.3</v>
      </c>
      <c r="H99" s="2">
        <v>304.5</v>
      </c>
      <c r="I99" s="2">
        <v>282.95</v>
      </c>
      <c r="J99" s="2">
        <v>227.45</v>
      </c>
      <c r="K99" s="2">
        <v>250.65</v>
      </c>
      <c r="L99" s="2">
        <v>274.85000000000002</v>
      </c>
      <c r="M99" s="2">
        <v>271.3</v>
      </c>
      <c r="N99" s="2">
        <v>310</v>
      </c>
      <c r="O99" s="2">
        <v>310</v>
      </c>
      <c r="P99" s="9"/>
      <c r="Q99" s="2">
        <f>SUM(OSRRefD21_12_0x)+IFERROR(SUM(OSRRefE21_12_0x),0)</f>
        <v>3497.55</v>
      </c>
    </row>
    <row r="100" spans="1:17" s="34" customFormat="1" collapsed="1" x14ac:dyDescent="0.25">
      <c r="A100" s="35"/>
      <c r="B100" s="11" t="str">
        <f>CONCATENATE("     ","Training                                          ")</f>
        <v xml:space="preserve">     Training                                          </v>
      </c>
      <c r="C100" s="11"/>
      <c r="D100" s="1">
        <f>SUM(OSRRefD21_13x_0)</f>
        <v>0</v>
      </c>
      <c r="E100" s="1">
        <f>SUM(OSRRefD21_13x_1)</f>
        <v>0</v>
      </c>
      <c r="F100" s="1">
        <f>SUM(OSRRefD21_13x_2)</f>
        <v>0</v>
      </c>
      <c r="G100" s="1">
        <f>SUM(OSRRefD21_13x_3)</f>
        <v>100</v>
      </c>
      <c r="H100" s="1">
        <f>SUM(OSRRefD21_13x_4)</f>
        <v>0</v>
      </c>
      <c r="I100" s="1">
        <f>SUM(OSRRefD21_13x_5)</f>
        <v>0</v>
      </c>
      <c r="J100" s="1">
        <f>SUM(OSRRefD21_13x_6)</f>
        <v>0</v>
      </c>
      <c r="K100" s="1">
        <f>SUM(OSRRefD21_13x_7)</f>
        <v>0</v>
      </c>
      <c r="L100" s="1">
        <f>SUM(OSRRefD21_13x_8)</f>
        <v>0</v>
      </c>
      <c r="M100" s="1">
        <f>SUM(OSRRefD21_13x_9)</f>
        <v>0</v>
      </c>
      <c r="N100" s="1">
        <f>SUM(OSRRefE21_13x_0)</f>
        <v>0</v>
      </c>
      <c r="O100" s="1">
        <f>SUM(OSRRefE21_13x_1)</f>
        <v>0</v>
      </c>
      <c r="Q100" s="2">
        <f>SUM(OSRRefD20_13x)+IFERROR(SUM(OSRRefE20_13x),0)</f>
        <v>100</v>
      </c>
    </row>
    <row r="101" spans="1:17" s="34" customFormat="1" hidden="1" outlineLevel="1" x14ac:dyDescent="0.25">
      <c r="A101" s="35"/>
      <c r="B101" s="10" t="str">
        <f>CONCATENATE("          ","6376", " - ","TRAINING")</f>
        <v xml:space="preserve">          6376 - TRAINING</v>
      </c>
      <c r="C101" s="11"/>
      <c r="D101" s="2"/>
      <c r="E101" s="2"/>
      <c r="F101" s="2"/>
      <c r="G101" s="2">
        <v>100</v>
      </c>
      <c r="H101" s="2"/>
      <c r="I101" s="2"/>
      <c r="J101" s="2"/>
      <c r="K101" s="2"/>
      <c r="L101" s="2"/>
      <c r="M101" s="2"/>
      <c r="N101" s="2"/>
      <c r="O101" s="2"/>
      <c r="P101" s="9"/>
      <c r="Q101" s="2">
        <f>SUM(OSRRefD21_13_0x)+IFERROR(SUM(OSRRefE21_13_0x),0)</f>
        <v>100</v>
      </c>
    </row>
    <row r="102" spans="1:17" s="30" customFormat="1" x14ac:dyDescent="0.25">
      <c r="A102" s="21"/>
      <c r="B102" s="21"/>
      <c r="C102" s="2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Q102" s="1"/>
    </row>
    <row r="103" spans="1:17" s="9" customFormat="1" x14ac:dyDescent="0.25">
      <c r="A103" s="23"/>
      <c r="B103" s="16" t="s">
        <v>291</v>
      </c>
      <c r="C103" s="22"/>
      <c r="D103" s="3">
        <f>-375.36</f>
        <v>-375.36</v>
      </c>
      <c r="E103" s="3">
        <f>-138.8</f>
        <v>-138.80000000000001</v>
      </c>
      <c r="F103" s="3">
        <f>--281.44</f>
        <v>281.44</v>
      </c>
      <c r="G103" s="3">
        <f>--1355.96</f>
        <v>1355.96</v>
      </c>
      <c r="H103" s="3">
        <f>-368.13</f>
        <v>-368.13</v>
      </c>
      <c r="I103" s="3">
        <f>-412.01</f>
        <v>-412.01</v>
      </c>
      <c r="J103" s="3">
        <f>--285.94</f>
        <v>285.94</v>
      </c>
      <c r="K103" s="3">
        <f>--649.6</f>
        <v>649.6</v>
      </c>
      <c r="L103" s="3">
        <f>--25561.24</f>
        <v>25561.24</v>
      </c>
      <c r="M103" s="3">
        <f>-23103.62</f>
        <v>-23103.62</v>
      </c>
      <c r="N103" s="3">
        <v>746</v>
      </c>
      <c r="O103" s="3">
        <v>2182</v>
      </c>
      <c r="Q103" s="2">
        <f>SUM(OSRRefD23_0x)+IFERROR(SUM(OSRRefE23_0x),0)</f>
        <v>6664.260000000002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25">
      <c r="A105" s="6"/>
      <c r="B105" s="17" t="s">
        <v>274</v>
      </c>
      <c r="C105" s="17"/>
      <c r="D105" s="8">
        <f t="shared" ref="D105:O105" si="11">IFERROR(+D47-D50+D103, 0)</f>
        <v>11856.049999999976</v>
      </c>
      <c r="E105" s="8">
        <f t="shared" si="11"/>
        <v>-2067.4899999999461</v>
      </c>
      <c r="F105" s="8">
        <f t="shared" si="11"/>
        <v>-10530.250000000024</v>
      </c>
      <c r="G105" s="8">
        <f t="shared" si="11"/>
        <v>2806.6700000000483</v>
      </c>
      <c r="H105" s="8">
        <f t="shared" si="11"/>
        <v>-13429.509999999993</v>
      </c>
      <c r="I105" s="8">
        <f t="shared" si="11"/>
        <v>-9141.1200000000226</v>
      </c>
      <c r="J105" s="8">
        <f t="shared" si="11"/>
        <v>4650.4900000000098</v>
      </c>
      <c r="K105" s="8">
        <f t="shared" si="11"/>
        <v>-7998.8599999999751</v>
      </c>
      <c r="L105" s="8">
        <f t="shared" si="11"/>
        <v>81669.87000000001</v>
      </c>
      <c r="M105" s="8">
        <f t="shared" si="11"/>
        <v>-2926.309999999994</v>
      </c>
      <c r="N105" s="8">
        <f t="shared" si="11"/>
        <v>-6516.6222988461559</v>
      </c>
      <c r="O105" s="8">
        <f t="shared" si="11"/>
        <v>7355.0111595538474</v>
      </c>
      <c r="Q105" s="8">
        <f>IFERROR(+Q47-Q50+Q103, 0)</f>
        <v>55727.928860706823</v>
      </c>
    </row>
    <row r="106" spans="1:17" s="6" customFormat="1" x14ac:dyDescent="0.25">
      <c r="B106" s="16"/>
      <c r="C106" s="16"/>
      <c r="D106" s="4">
        <f t="shared" ref="D106:O106" si="12">IFERROR(D105/D10, 0)</f>
        <v>5.7009265938112105E-2</v>
      </c>
      <c r="E106" s="4">
        <f t="shared" si="12"/>
        <v>-4.2050263192191274E-3</v>
      </c>
      <c r="F106" s="4">
        <f t="shared" si="12"/>
        <v>-3.9940785871872338E-2</v>
      </c>
      <c r="G106" s="4">
        <f t="shared" si="12"/>
        <v>1.623884496820149E-2</v>
      </c>
      <c r="H106" s="4">
        <f t="shared" si="12"/>
        <v>-0.22464373098174217</v>
      </c>
      <c r="I106" s="4">
        <f t="shared" si="12"/>
        <v>-0.11506713986950448</v>
      </c>
      <c r="J106" s="4">
        <f t="shared" si="12"/>
        <v>3.5996786483601474E-2</v>
      </c>
      <c r="K106" s="4">
        <f t="shared" si="12"/>
        <v>-4.3019687485192928E-2</v>
      </c>
      <c r="L106" s="4">
        <f t="shared" si="12"/>
        <v>0.19033482995896903</v>
      </c>
      <c r="M106" s="4">
        <f t="shared" si="12"/>
        <v>-7.2572193995527551E-3</v>
      </c>
      <c r="N106" s="4">
        <f t="shared" si="12"/>
        <v>-7.0516294231830548E-2</v>
      </c>
      <c r="O106" s="4">
        <f t="shared" si="12"/>
        <v>2.7237251317621225E-2</v>
      </c>
      <c r="P106" s="18"/>
      <c r="Q106" s="4">
        <f>IFERROR(Q105/Q10, 0)</f>
        <v>2.0008362269837147E-2</v>
      </c>
    </row>
    <row r="107" spans="1:17" x14ac:dyDescent="0.25">
      <c r="A107" s="5"/>
      <c r="B107" s="6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x14ac:dyDescent="0.25">
      <c r="A108" s="25"/>
      <c r="B108" s="6" t="s">
        <v>125</v>
      </c>
      <c r="C108" s="6"/>
      <c r="D108" s="3">
        <v>100199.48</v>
      </c>
      <c r="E108" s="3">
        <v>17925.13</v>
      </c>
      <c r="F108" s="3">
        <v>60328.69</v>
      </c>
      <c r="G108" s="3">
        <v>67655.09</v>
      </c>
      <c r="H108" s="3">
        <v>-56079.39</v>
      </c>
      <c r="I108" s="3">
        <v>45936.74</v>
      </c>
      <c r="J108" s="3">
        <v>18994.759999999998</v>
      </c>
      <c r="K108" s="3">
        <v>60009.69</v>
      </c>
      <c r="L108" s="3">
        <v>101243.25</v>
      </c>
      <c r="M108" s="3">
        <v>90642.79</v>
      </c>
      <c r="N108" s="3">
        <v>47270</v>
      </c>
      <c r="O108" s="3">
        <v>117821</v>
      </c>
      <c r="Q108" s="2">
        <f>SUM(OSRRefD28_0x)+IFERROR(SUM(OSRRefE28_0x),0)</f>
        <v>671947.23</v>
      </c>
    </row>
    <row r="109" spans="1:17" x14ac:dyDescent="0.25">
      <c r="A109" s="5"/>
      <c r="B109" s="6"/>
      <c r="C109" s="6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5" customFormat="1" ht="15.75" thickBot="1" x14ac:dyDescent="0.3">
      <c r="A110" s="6"/>
      <c r="B110" s="17" t="s">
        <v>124</v>
      </c>
      <c r="C110" s="17"/>
      <c r="D110" s="7">
        <f t="shared" ref="D110:O110" si="13">IFERROR(+D105-D108, 0)</f>
        <v>-88343.430000000022</v>
      </c>
      <c r="E110" s="7">
        <f t="shared" si="13"/>
        <v>-19992.619999999948</v>
      </c>
      <c r="F110" s="7">
        <f t="shared" si="13"/>
        <v>-70858.940000000031</v>
      </c>
      <c r="G110" s="7">
        <f t="shared" si="13"/>
        <v>-64848.419999999947</v>
      </c>
      <c r="H110" s="7">
        <f t="shared" si="13"/>
        <v>42649.880000000005</v>
      </c>
      <c r="I110" s="7">
        <f t="shared" si="13"/>
        <v>-55077.860000000022</v>
      </c>
      <c r="J110" s="7">
        <f t="shared" si="13"/>
        <v>-14344.26999999999</v>
      </c>
      <c r="K110" s="7">
        <f t="shared" si="13"/>
        <v>-68008.549999999974</v>
      </c>
      <c r="L110" s="7">
        <f t="shared" si="13"/>
        <v>-19573.37999999999</v>
      </c>
      <c r="M110" s="7">
        <f t="shared" si="13"/>
        <v>-93569.099999999991</v>
      </c>
      <c r="N110" s="7">
        <f t="shared" si="13"/>
        <v>-53786.622298846152</v>
      </c>
      <c r="O110" s="7">
        <f t="shared" si="13"/>
        <v>-110465.98884044615</v>
      </c>
      <c r="Q110" s="7">
        <f>IFERROR(+Q105-Q108, 0)</f>
        <v>-616219.30113929312</v>
      </c>
    </row>
    <row r="111" spans="1:17" ht="15.75" thickTop="1" x14ac:dyDescent="0.25">
      <c r="A111" s="5"/>
      <c r="B111" s="5"/>
      <c r="C111" s="5"/>
      <c r="D111" s="4">
        <f t="shared" ref="D111:O111" si="14">IFERROR(D110/D10, 0)</f>
        <v>-0.42479528129140837</v>
      </c>
      <c r="E111" s="4">
        <f t="shared" si="14"/>
        <v>-4.0662587625646889E-2</v>
      </c>
      <c r="F111" s="4">
        <f t="shared" si="14"/>
        <v>-0.26876491532944086</v>
      </c>
      <c r="G111" s="4">
        <f t="shared" si="14"/>
        <v>-0.37520030456476822</v>
      </c>
      <c r="H111" s="4">
        <f t="shared" si="14"/>
        <v>0.71343095683488023</v>
      </c>
      <c r="I111" s="4">
        <f t="shared" si="14"/>
        <v>-0.69331239720438775</v>
      </c>
      <c r="J111" s="4">
        <f t="shared" si="14"/>
        <v>-0.11103079986262278</v>
      </c>
      <c r="K111" s="4">
        <f t="shared" si="14"/>
        <v>-0.36576544249069559</v>
      </c>
      <c r="L111" s="4">
        <f t="shared" si="14"/>
        <v>-4.5616528519297053E-2</v>
      </c>
      <c r="M111" s="4">
        <f t="shared" si="14"/>
        <v>-0.23205042791730643</v>
      </c>
      <c r="N111" s="4">
        <f t="shared" si="14"/>
        <v>-0.58202441538361649</v>
      </c>
      <c r="O111" s="4">
        <f t="shared" si="14"/>
        <v>-0.40908026307866074</v>
      </c>
      <c r="P111" s="18"/>
      <c r="Q111" s="4">
        <f>IFERROR(Q110/Q10, 0)</f>
        <v>-0.22124524034759663</v>
      </c>
    </row>
    <row r="112" spans="1:17" x14ac:dyDescent="0.25">
      <c r="A112" s="5"/>
      <c r="B112" s="5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.75" thickBot="1" x14ac:dyDescent="0.3">
      <c r="A114" s="6"/>
      <c r="B114" s="17" t="s">
        <v>292</v>
      </c>
      <c r="C114" s="17"/>
      <c r="D114" s="7">
        <f t="shared" ref="D114:O114" si="15">IFERROR(SUM(D110:D113), 0)</f>
        <v>-88343.85479528131</v>
      </c>
      <c r="E114" s="7">
        <f t="shared" si="15"/>
        <v>-19992.660662587572</v>
      </c>
      <c r="F114" s="7">
        <f t="shared" si="15"/>
        <v>-70859.208764915355</v>
      </c>
      <c r="G114" s="7">
        <f t="shared" si="15"/>
        <v>-64848.795200304514</v>
      </c>
      <c r="H114" s="7">
        <f t="shared" si="15"/>
        <v>42650.59343095684</v>
      </c>
      <c r="I114" s="7">
        <f t="shared" si="15"/>
        <v>-55078.553312397227</v>
      </c>
      <c r="J114" s="7">
        <f t="shared" si="15"/>
        <v>-14344.381030799852</v>
      </c>
      <c r="K114" s="7">
        <f t="shared" si="15"/>
        <v>-68008.915765442463</v>
      </c>
      <c r="L114" s="7">
        <f t="shared" si="15"/>
        <v>-19573.425616528508</v>
      </c>
      <c r="M114" s="7">
        <f t="shared" si="15"/>
        <v>-93569.332050427911</v>
      </c>
      <c r="N114" s="7">
        <f t="shared" si="15"/>
        <v>-53787.204323261532</v>
      </c>
      <c r="O114" s="7">
        <f t="shared" si="15"/>
        <v>-110466.39792070923</v>
      </c>
      <c r="Q114" s="7">
        <f>IFERROR(SUM(Q110:Q113), 0)</f>
        <v>-616219.52238453343</v>
      </c>
    </row>
    <row r="115" spans="1:17" ht="15.75" thickTop="1" x14ac:dyDescent="0.25">
      <c r="A115" s="5"/>
      <c r="C115" s="5"/>
      <c r="D115" s="4">
        <f t="shared" ref="D115:O115" si="16">IFERROR(D114/D10, 0)</f>
        <v>-0.42479732389979485</v>
      </c>
      <c r="E115" s="4">
        <f t="shared" si="16"/>
        <v>-4.0662670328465843E-2</v>
      </c>
      <c r="F115" s="4">
        <f t="shared" si="16"/>
        <v>-0.26876593474321853</v>
      </c>
      <c r="G115" s="4">
        <f t="shared" si="16"/>
        <v>-0.37520247540051943</v>
      </c>
      <c r="H115" s="4">
        <f t="shared" si="16"/>
        <v>0.71344289083633983</v>
      </c>
      <c r="I115" s="4">
        <f t="shared" si="16"/>
        <v>-0.69332112452386097</v>
      </c>
      <c r="J115" s="4">
        <f t="shared" si="16"/>
        <v>-0.11103165928861783</v>
      </c>
      <c r="K115" s="4">
        <f t="shared" si="16"/>
        <v>-0.36576740966039589</v>
      </c>
      <c r="L115" s="4">
        <f t="shared" si="16"/>
        <v>-4.5616634830402951E-2</v>
      </c>
      <c r="M115" s="4">
        <f t="shared" si="16"/>
        <v>-0.23205100340003629</v>
      </c>
      <c r="N115" s="4">
        <f t="shared" si="16"/>
        <v>-0.58203071346305746</v>
      </c>
      <c r="O115" s="4">
        <f t="shared" si="16"/>
        <v>-0.40908177799436829</v>
      </c>
      <c r="P115" s="18"/>
      <c r="Q115" s="4">
        <f>IFERROR(Q114/Q10, 0)</f>
        <v>-0.22124531978272027</v>
      </c>
    </row>
    <row r="116" spans="1:17" x14ac:dyDescent="0.25">
      <c r="A116" s="5"/>
      <c r="B116" s="27">
        <v>44330.012719444443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Q116" s="13"/>
    </row>
    <row r="117" spans="1:17" x14ac:dyDescent="0.25">
      <c r="A117" s="5"/>
      <c r="B117" s="31" t="s">
        <v>54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  <row r="118" spans="1:17" x14ac:dyDescent="0.25">
      <c r="A118" s="5"/>
      <c r="B118" s="26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Q118" s="13"/>
    </row>
    <row r="119" spans="1:17" x14ac:dyDescent="0.25"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SUM(OSRRefE11x_0)</f>
        <v>92413</v>
      </c>
      <c r="O10" s="3">
        <f>SUM(OSRRefE11x_1)</f>
        <v>270035</v>
      </c>
      <c r="P10" s="24"/>
      <c r="Q10" s="3">
        <f>SUM(OSRRefG11x)</f>
        <v>2785231.8999999994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v>82083</v>
      </c>
      <c r="O11" s="2">
        <v>239851</v>
      </c>
      <c r="Q11" s="2">
        <f>SUM(OSRRefD11_0x)+IFERROR(SUM(OSRRefE11_0x),0)</f>
        <v>319025.89</v>
      </c>
    </row>
    <row r="12" spans="1:18" s="9" customFormat="1" hidden="1" outlineLevel="1" x14ac:dyDescent="0.25">
      <c r="A12" s="23"/>
      <c r="B12" s="10" t="str">
        <f>CONCATENATE("          ","4081", " - ","TAXABLE SALES-ELECTRONICS")</f>
        <v xml:space="preserve">          4081 - TAXABLE SALES-ELECTRONICS</v>
      </c>
      <c r="C12" s="22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/>
      <c r="O12" s="2"/>
      <c r="Q12" s="2">
        <f>SUM(OSRRefD11_1x)+IFERROR(SUM(OSRRefE11_1x),0)</f>
        <v>62096.070000000007</v>
      </c>
    </row>
    <row r="13" spans="1:18" s="9" customFormat="1" hidden="1" outlineLevel="1" x14ac:dyDescent="0.25">
      <c r="A13" s="23"/>
      <c r="B13" s="10" t="str">
        <f>CONCATENATE("          ","4082", " - ","TAXABLE SALES-COMPUTER HARDWAR")</f>
        <v xml:space="preserve">          4082 - TAXABLE SALES-COMPUTER HARDWAR</v>
      </c>
      <c r="C13" s="22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/>
      <c r="O13" s="2"/>
      <c r="Q13" s="2">
        <f>SUM(OSRRefD11_2x)+IFERROR(SUM(OSRRefE11_2x),0)</f>
        <v>2012047.63</v>
      </c>
    </row>
    <row r="14" spans="1:18" s="9" customFormat="1" hidden="1" outlineLevel="1" x14ac:dyDescent="0.25">
      <c r="A14" s="23"/>
      <c r="B14" s="10" t="str">
        <f>CONCATENATE("          ","4083", " - ","TAXABLE SALES-COMPUTER EQUIPME")</f>
        <v xml:space="preserve">          4083 - TAXABLE SALES-COMPUTER EQUIPME</v>
      </c>
      <c r="C14" s="22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/>
      <c r="O14" s="2"/>
      <c r="Q14" s="2">
        <f>SUM(OSRRefD11_3x)+IFERROR(SUM(OSRRefE11_3x),0)</f>
        <v>126932.94</v>
      </c>
    </row>
    <row r="15" spans="1:18" s="9" customFormat="1" hidden="1" outlineLevel="1" x14ac:dyDescent="0.25">
      <c r="A15" s="23"/>
      <c r="B15" s="10" t="str">
        <f>CONCATENATE("          ","4085", " - ","TAXABLE SALES-SOFTWARE")</f>
        <v xml:space="preserve">          4085 - TAXABLE SALES-SOFTWARE</v>
      </c>
      <c r="C15" s="22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/>
      <c r="O15" s="2"/>
      <c r="Q15" s="2">
        <f>SUM(OSRRefD11_4x)+IFERROR(SUM(OSRRefE11_4x),0)</f>
        <v>4870.7900000000009</v>
      </c>
    </row>
    <row r="16" spans="1:18" s="9" customFormat="1" hidden="1" outlineLevel="1" x14ac:dyDescent="0.25">
      <c r="A16" s="23"/>
      <c r="B16" s="10" t="str">
        <f>CONCATENATE("          ","4086", " - ","TAXABLE SALES-COMPUTER SUPPLIE")</f>
        <v xml:space="preserve">          4086 - TAXABLE SALES-COMPUTER SUPPLIE</v>
      </c>
      <c r="C16" s="22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/>
      <c r="O16" s="2"/>
      <c r="Q16" s="2">
        <f>SUM(OSRRefD11_5x)+IFERROR(SUM(OSRRefE11_5x),0)</f>
        <v>65269.630000000005</v>
      </c>
    </row>
    <row r="17" spans="1:17" s="9" customFormat="1" hidden="1" outlineLevel="1" x14ac:dyDescent="0.25">
      <c r="A17" s="23"/>
      <c r="B17" s="10" t="str">
        <f>CONCATENATE("          ","4100", " - ","NON-TAXABLE SALES")</f>
        <v xml:space="preserve">          4100 - NON-TAXABLE SALES</v>
      </c>
      <c r="C17" s="22"/>
      <c r="D17" s="2">
        <f t="shared" ref="D17:M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f t="shared" si="0"/>
        <v>0</v>
      </c>
      <c r="N17" s="2">
        <v>10330</v>
      </c>
      <c r="O17" s="2">
        <v>30184</v>
      </c>
      <c r="Q17" s="2">
        <f>SUM(OSRRefD11_6x)+IFERROR(SUM(OSRRefE11_6x),0)</f>
        <v>40514</v>
      </c>
    </row>
    <row r="18" spans="1:17" s="9" customFormat="1" hidden="1" outlineLevel="1" x14ac:dyDescent="0.25">
      <c r="A18" s="23"/>
      <c r="B18" s="10" t="str">
        <f>CONCATENATE("          ","4181", " - ","NON-TAXABLE SALES-ELECTRONICS")</f>
        <v xml:space="preserve">          4181 - NON-TAXABLE SALES-ELECTRONICS</v>
      </c>
      <c r="C18" s="22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>
        <f>--29.99</f>
        <v>29.99</v>
      </c>
      <c r="N18" s="2"/>
      <c r="O18" s="2"/>
      <c r="Q18" s="2">
        <f>SUM(OSRRefD11_7x)+IFERROR(SUM(OSRRefE11_7x),0)</f>
        <v>12508.619999999999</v>
      </c>
    </row>
    <row r="19" spans="1:17" s="9" customFormat="1" hidden="1" outlineLevel="1" x14ac:dyDescent="0.25">
      <c r="A19" s="23"/>
      <c r="B19" s="10" t="str">
        <f>CONCATENATE("          ","4182", " - ","NON-TAXABLE SALES-COMPUTER HAR")</f>
        <v xml:space="preserve">          4182 - NON-TAXABLE SALES-COMPUTER HAR</v>
      </c>
      <c r="C19" s="22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>
        <f>--61075.64</f>
        <v>61075.64</v>
      </c>
      <c r="N19" s="2"/>
      <c r="O19" s="2"/>
      <c r="Q19" s="2">
        <f>SUM(OSRRefD11_8x)+IFERROR(SUM(OSRRefE11_8x),0)</f>
        <v>314490.47000000003</v>
      </c>
    </row>
    <row r="20" spans="1:17" s="9" customFormat="1" hidden="1" outlineLevel="1" x14ac:dyDescent="0.25">
      <c r="A20" s="23"/>
      <c r="B20" s="10" t="str">
        <f>CONCATENATE("          ","4183", " - ","NON-TAXABLE SALES-COMPUTER EQU")</f>
        <v xml:space="preserve">          4183 - NON-TAXABLE SALES-COMPUTER EQU</v>
      </c>
      <c r="C20" s="22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>
        <f>--2879.59</f>
        <v>2879.59</v>
      </c>
      <c r="N20" s="2"/>
      <c r="O20" s="2"/>
      <c r="Q20" s="2">
        <f>SUM(OSRRefD11_9x)+IFERROR(SUM(OSRRefE11_9x),0)</f>
        <v>19486.02</v>
      </c>
    </row>
    <row r="21" spans="1:17" s="9" customFormat="1" hidden="1" outlineLevel="1" x14ac:dyDescent="0.25">
      <c r="A21" s="23"/>
      <c r="B21" s="10" t="str">
        <f>CONCATENATE("          ","4185", " - ","NON-TAXABLE SALES-SOFTWARE")</f>
        <v xml:space="preserve">          4185 - NON-TAXABLE SALES-SOFTWARE</v>
      </c>
      <c r="C21" s="22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>
        <f>--11345.61</f>
        <v>11345.61</v>
      </c>
      <c r="N21" s="2"/>
      <c r="O21" s="2"/>
      <c r="Q21" s="2">
        <f>SUM(OSRRefD11_10x)+IFERROR(SUM(OSRRefE11_10x),0)</f>
        <v>50032.39</v>
      </c>
    </row>
    <row r="22" spans="1:17" s="9" customFormat="1" hidden="1" outlineLevel="1" x14ac:dyDescent="0.25">
      <c r="A22" s="23"/>
      <c r="B22" s="10" t="str">
        <f>CONCATENATE("          ","4186", " - ","NON-TAXABLE SALES-COMPUTER SUP")</f>
        <v xml:space="preserve">          4186 - NON-TAXABLE SALES-COMPUTER SUP</v>
      </c>
      <c r="C22" s="22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>
        <f>--89.97</f>
        <v>89.97</v>
      </c>
      <c r="N22" s="2"/>
      <c r="O22" s="2"/>
      <c r="Q22" s="2">
        <f>SUM(OSRRefD11_11x)+IFERROR(SUM(OSRRefE11_11x),0)</f>
        <v>3345.1699999999996</v>
      </c>
    </row>
    <row r="23" spans="1:17" s="9" customFormat="1" hidden="1" outlineLevel="1" x14ac:dyDescent="0.25">
      <c r="A23" s="23"/>
      <c r="B23" s="10" t="str">
        <f>CONCATENATE("          ","4281", " - ","SALES RETURN TAXABLE-ELECTRONI")</f>
        <v xml:space="preserve">          4281 - SALES RETURN TAXABLE-ELECTRONI</v>
      </c>
      <c r="C23" s="22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M23" si="2">0</f>
        <v>0</v>
      </c>
      <c r="L23" s="2">
        <f t="shared" si="2"/>
        <v>0</v>
      </c>
      <c r="M23" s="2">
        <f t="shared" si="2"/>
        <v>0</v>
      </c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25">
      <c r="A24" s="23"/>
      <c r="B24" s="10" t="str">
        <f>CONCATENATE("          ","4282", " - ","SALES RETURN TAXABLE-COMPUTER")</f>
        <v xml:space="preserve">          4282 - SALES RETURN TAXABLE-COMPUTER</v>
      </c>
      <c r="C24" s="22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>
        <f>-42380</f>
        <v>-42380</v>
      </c>
      <c r="N24" s="2"/>
      <c r="O24" s="2"/>
      <c r="Q24" s="2">
        <f>SUM(OSRRefD11_13x)+IFERROR(SUM(OSRRefE11_13x),0)</f>
        <v>-215145.16</v>
      </c>
    </row>
    <row r="25" spans="1:17" s="9" customFormat="1" hidden="1" outlineLevel="1" x14ac:dyDescent="0.25">
      <c r="A25" s="23"/>
      <c r="B25" s="10" t="str">
        <f>CONCATENATE("          ","4283", " - ","SALES RETURN TAXABLE-COMPUTER")</f>
        <v xml:space="preserve">          4283 - SALES RETURN TAXABLE-COMPUTER</v>
      </c>
      <c r="C25" s="22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>
        <f>-197.95</f>
        <v>-197.95</v>
      </c>
      <c r="N25" s="2"/>
      <c r="O25" s="2"/>
      <c r="Q25" s="2">
        <f>SUM(OSRRefD11_14x)+IFERROR(SUM(OSRRefE11_14x),0)</f>
        <v>-3947.2</v>
      </c>
    </row>
    <row r="26" spans="1:17" s="9" customFormat="1" hidden="1" outlineLevel="1" x14ac:dyDescent="0.25">
      <c r="A26" s="23"/>
      <c r="B26" s="10" t="str">
        <f>CONCATENATE("          ","4285", " - ","SALES RETURN TAXABLE-SOFTWARE")</f>
        <v xml:space="preserve">          4285 - SALES RETURN TAXABLE-SOFTWARE</v>
      </c>
      <c r="C26" s="22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>
        <f>-99.83</f>
        <v>-99.83</v>
      </c>
      <c r="N26" s="2"/>
      <c r="O26" s="2"/>
      <c r="Q26" s="2">
        <f>SUM(OSRRefD11_15x)+IFERROR(SUM(OSRRefE11_15x),0)</f>
        <v>-1091.79</v>
      </c>
    </row>
    <row r="27" spans="1:17" s="9" customFormat="1" hidden="1" outlineLevel="1" x14ac:dyDescent="0.25">
      <c r="A27" s="23"/>
      <c r="B27" s="10" t="str">
        <f>CONCATENATE("          ","4286", " - ","SALES RETURN TAXABLE-COMPUTER")</f>
        <v xml:space="preserve">          4286 - SALES RETURN TAXABLE-COMPUTER</v>
      </c>
      <c r="C27" s="22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>
        <f t="shared" ref="M27:M28" si="6">0</f>
        <v>0</v>
      </c>
      <c r="N27" s="2"/>
      <c r="O27" s="2"/>
      <c r="Q27" s="2">
        <f>SUM(OSRRefD11_16x)+IFERROR(SUM(OSRRefE11_16x),0)</f>
        <v>-4802.29</v>
      </c>
    </row>
    <row r="28" spans="1:17" s="9" customFormat="1" hidden="1" outlineLevel="1" x14ac:dyDescent="0.25">
      <c r="A28" s="23"/>
      <c r="B28" s="10" t="str">
        <f>CONCATENATE("          ","4381", " - ","SALES RETURN NON TAXABLE-ELECT")</f>
        <v xml:space="preserve">          4381 - SALES RETURN NON TAXABLE-ELECT</v>
      </c>
      <c r="C28" s="22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9" si="7">0</f>
        <v>0</v>
      </c>
      <c r="H28" s="2">
        <f t="shared" si="7"/>
        <v>0</v>
      </c>
      <c r="I28" s="2">
        <f t="shared" si="7"/>
        <v>0</v>
      </c>
      <c r="J28" s="2">
        <f t="shared" si="7"/>
        <v>0</v>
      </c>
      <c r="K28" s="2">
        <f t="shared" si="7"/>
        <v>0</v>
      </c>
      <c r="L28" s="2">
        <f t="shared" si="7"/>
        <v>0</v>
      </c>
      <c r="M28" s="2">
        <f t="shared" si="6"/>
        <v>0</v>
      </c>
      <c r="N28" s="2"/>
      <c r="O28" s="2"/>
      <c r="Q28" s="2">
        <f>SUM(OSRRefD11_17x)+IFERROR(SUM(OSRRefE11_17x),0)</f>
        <v>-5624.15</v>
      </c>
    </row>
    <row r="29" spans="1:17" s="9" customFormat="1" hidden="1" outlineLevel="1" x14ac:dyDescent="0.25">
      <c r="A29" s="23"/>
      <c r="B29" s="10" t="str">
        <f>CONCATENATE("          ","4383", " - ","SALES RETURN NON TAXABLE-COMPU")</f>
        <v xml:space="preserve">          4383 - SALES RETURN NON TAXABLE-COMPU</v>
      </c>
      <c r="C29" s="22"/>
      <c r="D29" s="2">
        <f t="shared" ref="D29:F29" si="8">0</f>
        <v>0</v>
      </c>
      <c r="E29" s="2">
        <f t="shared" si="8"/>
        <v>0</v>
      </c>
      <c r="F29" s="2">
        <f t="shared" si="8"/>
        <v>0</v>
      </c>
      <c r="G29" s="2">
        <f t="shared" si="7"/>
        <v>0</v>
      </c>
      <c r="H29" s="2">
        <f t="shared" si="7"/>
        <v>0</v>
      </c>
      <c r="I29" s="2">
        <f t="shared" si="7"/>
        <v>0</v>
      </c>
      <c r="J29" s="2">
        <f t="shared" si="7"/>
        <v>0</v>
      </c>
      <c r="K29" s="2">
        <f t="shared" si="7"/>
        <v>0</v>
      </c>
      <c r="L29" s="2">
        <f t="shared" si="7"/>
        <v>0</v>
      </c>
      <c r="M29" s="2">
        <f>-14.99</f>
        <v>-14.99</v>
      </c>
      <c r="N29" s="2"/>
      <c r="O29" s="2"/>
      <c r="Q29" s="2">
        <f>SUM(OSRRefD11_18x)+IFERROR(SUM(OSRRefE11_18x),0)</f>
        <v>-14.99</v>
      </c>
    </row>
    <row r="30" spans="1:17" x14ac:dyDescent="0.25">
      <c r="A30" s="5"/>
      <c r="B30" s="6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9" customFormat="1" collapsed="1" x14ac:dyDescent="0.25">
      <c r="A31" s="23"/>
      <c r="B31" s="16" t="s">
        <v>217</v>
      </c>
      <c r="C31" s="22"/>
      <c r="D31" s="3">
        <f>SUM(OSRRefD14x_0)</f>
        <v>183956.00000000003</v>
      </c>
      <c r="E31" s="3">
        <f>SUM(OSRRefD14x_1)</f>
        <v>478464</v>
      </c>
      <c r="F31" s="3">
        <f>SUM(OSRRefD14x_2)</f>
        <v>262132</v>
      </c>
      <c r="G31" s="3">
        <f>SUM(OSRRefD14x_3)</f>
        <v>156723</v>
      </c>
      <c r="H31" s="3">
        <f>SUM(OSRRefD14x_4)</f>
        <v>60363.839999999997</v>
      </c>
      <c r="I31" s="3">
        <f>SUM(OSRRefD14x_5)</f>
        <v>74328</v>
      </c>
      <c r="J31" s="3">
        <f>SUM(OSRRefD14x_6)</f>
        <v>110569</v>
      </c>
      <c r="K31" s="3">
        <f>SUM(OSRRefD14x_7)</f>
        <v>181960</v>
      </c>
      <c r="L31" s="3">
        <f>SUM(OSRRefD14x_8)</f>
        <v>356026</v>
      </c>
      <c r="M31" s="3">
        <f>SUM(OSRRefD14x_9)</f>
        <v>369412.99999999994</v>
      </c>
      <c r="N31" s="3">
        <f>SUM(OSRRefE14x_0)</f>
        <v>85020</v>
      </c>
      <c r="O31" s="3">
        <f>SUM(OSRRefE14x_1)</f>
        <v>248432</v>
      </c>
      <c r="Q31" s="3">
        <f>SUM(OSRRefG14x)</f>
        <v>2567386.8400000003</v>
      </c>
    </row>
    <row r="32" spans="1:17" s="9" customFormat="1" hidden="1" outlineLevel="1" x14ac:dyDescent="0.25">
      <c r="A32" s="23"/>
      <c r="B32" s="10" t="str">
        <f>CONCATENATE("          ","5000", " - ","PURCHASES @ COST")</f>
        <v xml:space="preserve">          5000 - PURCHASES @ COST</v>
      </c>
      <c r="C32" s="22"/>
      <c r="D32" s="2"/>
      <c r="E32" s="2"/>
      <c r="F32" s="2">
        <v>0</v>
      </c>
      <c r="G32" s="2"/>
      <c r="H32" s="2"/>
      <c r="I32" s="2"/>
      <c r="J32" s="2"/>
      <c r="K32" s="2"/>
      <c r="L32" s="2"/>
      <c r="M32" s="2"/>
      <c r="N32" s="2">
        <v>85020</v>
      </c>
      <c r="O32" s="2">
        <v>248432</v>
      </c>
      <c r="Q32" s="2">
        <f>SUM(OSRRefD14_0x)+IFERROR(SUM(OSRRefE14_0x),0)</f>
        <v>333452</v>
      </c>
    </row>
    <row r="33" spans="1:17" s="9" customFormat="1" hidden="1" outlineLevel="1" x14ac:dyDescent="0.25">
      <c r="A33" s="23"/>
      <c r="B33" s="10" t="str">
        <f>CONCATENATE("          ","5081", " - ","PURCHASES @ COST-ELECTRONICS")</f>
        <v xml:space="preserve">          5081 - PURCHASES @ COST-ELECTRONICS</v>
      </c>
      <c r="C33" s="22"/>
      <c r="D33" s="2">
        <v>6676.92</v>
      </c>
      <c r="E33" s="2">
        <v>745.55</v>
      </c>
      <c r="F33" s="2">
        <v>8274.98</v>
      </c>
      <c r="G33" s="2">
        <v>6249.76</v>
      </c>
      <c r="H33" s="2">
        <v>2367.86</v>
      </c>
      <c r="I33" s="2">
        <v>945.44</v>
      </c>
      <c r="J33" s="2">
        <v>313.26</v>
      </c>
      <c r="K33" s="2">
        <v>6584.13</v>
      </c>
      <c r="L33" s="2">
        <v>309.97000000000003</v>
      </c>
      <c r="M33" s="2">
        <v>-19.5</v>
      </c>
      <c r="N33" s="2"/>
      <c r="O33" s="2"/>
      <c r="Q33" s="2">
        <f>SUM(OSRRefD14_1x)+IFERROR(SUM(OSRRefE14_1x),0)</f>
        <v>32448.37</v>
      </c>
    </row>
    <row r="34" spans="1:17" s="9" customFormat="1" hidden="1" outlineLevel="1" x14ac:dyDescent="0.25">
      <c r="A34" s="23"/>
      <c r="B34" s="10" t="str">
        <f>CONCATENATE("          ","5082", " - ","PURCHASES @ COST-COMPUTER HARD")</f>
        <v xml:space="preserve">          5082 - PURCHASES @ COST-COMPUTER HARD</v>
      </c>
      <c r="C34" s="22"/>
      <c r="D34" s="2">
        <v>186472.57</v>
      </c>
      <c r="E34" s="2">
        <v>56751.23</v>
      </c>
      <c r="F34" s="2">
        <v>470149.41</v>
      </c>
      <c r="G34" s="2">
        <v>175404.87</v>
      </c>
      <c r="H34" s="2">
        <v>71242.03</v>
      </c>
      <c r="I34" s="2">
        <v>20916.71</v>
      </c>
      <c r="J34" s="2">
        <v>98264.71</v>
      </c>
      <c r="K34" s="2">
        <v>184376.31</v>
      </c>
      <c r="L34" s="2">
        <v>132715.92000000001</v>
      </c>
      <c r="M34" s="2">
        <v>277047.03999999998</v>
      </c>
      <c r="N34" s="2"/>
      <c r="O34" s="2"/>
      <c r="Q34" s="2">
        <f>SUM(OSRRefD14_2x)+IFERROR(SUM(OSRRefE14_2x),0)</f>
        <v>1673340.8</v>
      </c>
    </row>
    <row r="35" spans="1:17" s="9" customFormat="1" hidden="1" outlineLevel="1" x14ac:dyDescent="0.25">
      <c r="A35" s="23"/>
      <c r="B35" s="10" t="str">
        <f>CONCATENATE("          ","5083", " - ","PURCHASES @ COST-COMPUTER EQUI")</f>
        <v xml:space="preserve">          5083 - PURCHASES @ COST-COMPUTER EQUI</v>
      </c>
      <c r="C35" s="22"/>
      <c r="D35" s="2">
        <v>29938.3</v>
      </c>
      <c r="E35" s="2">
        <v>7340.55</v>
      </c>
      <c r="F35" s="2">
        <v>24155.15</v>
      </c>
      <c r="G35" s="2">
        <v>11838.95</v>
      </c>
      <c r="H35" s="2">
        <v>2620.17</v>
      </c>
      <c r="I35" s="2">
        <v>5833.72</v>
      </c>
      <c r="J35" s="2">
        <v>8829.83</v>
      </c>
      <c r="K35" s="2">
        <v>8631.6</v>
      </c>
      <c r="L35" s="2">
        <v>6015.06</v>
      </c>
      <c r="M35" s="2">
        <v>14312.16</v>
      </c>
      <c r="N35" s="2"/>
      <c r="O35" s="2"/>
      <c r="Q35" s="2">
        <f>SUM(OSRRefD14_3x)+IFERROR(SUM(OSRRefE14_3x),0)</f>
        <v>119515.49</v>
      </c>
    </row>
    <row r="36" spans="1:17" s="9" customFormat="1" hidden="1" outlineLevel="1" x14ac:dyDescent="0.25">
      <c r="A36" s="23"/>
      <c r="B36" s="10" t="str">
        <f>CONCATENATE("          ","5085", " - ","PURCHASES @ COST-SOFTWARE")</f>
        <v xml:space="preserve">          5085 - PURCHASES @ COST-SOFTWARE</v>
      </c>
      <c r="C36" s="22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/>
      <c r="O36" s="2"/>
      <c r="Q36" s="2">
        <f>SUM(OSRRefD14_4x)+IFERROR(SUM(OSRRefE14_4x),0)</f>
        <v>37910.879999999997</v>
      </c>
    </row>
    <row r="37" spans="1:17" s="9" customFormat="1" hidden="1" outlineLevel="1" x14ac:dyDescent="0.25">
      <c r="A37" s="23"/>
      <c r="B37" s="10" t="str">
        <f>CONCATENATE("          ","5086", " - ","PURCHASES @ COST-COMPUTER SUPP")</f>
        <v xml:space="preserve">          5086 - PURCHASES @ COST-COMPUTER SUPP</v>
      </c>
      <c r="C37" s="22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/>
      <c r="O37" s="2"/>
      <c r="Q37" s="2">
        <f>SUM(OSRRefD14_5x)+IFERROR(SUM(OSRRefE14_5x),0)</f>
        <v>23679.39</v>
      </c>
    </row>
    <row r="38" spans="1:17" s="9" customFormat="1" hidden="1" outlineLevel="1" x14ac:dyDescent="0.25">
      <c r="A38" s="23"/>
      <c r="B38" s="10" t="str">
        <f>CONCATENATE("          ","5200", " - ","PURCHASES OFFSET")</f>
        <v xml:space="preserve">          5200 - PURCHASES OFFSET</v>
      </c>
      <c r="C38" s="22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/>
      <c r="O38" s="2"/>
      <c r="Q38" s="2">
        <f>SUM(OSRRefD14_6x)+IFERROR(SUM(OSRRefE14_6x),0)</f>
        <v>-1883381.08</v>
      </c>
    </row>
    <row r="39" spans="1:17" s="9" customFormat="1" hidden="1" outlineLevel="1" x14ac:dyDescent="0.25">
      <c r="A39" s="23"/>
      <c r="B39" s="10" t="str">
        <f>CONCATENATE("          ","5300", " - ","COG$ OFFSET")</f>
        <v xml:space="preserve">          5300 - COG$ OFFSET</v>
      </c>
      <c r="C39" s="22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/>
      <c r="O39" s="2"/>
      <c r="Q39" s="2">
        <f>SUM(OSRRefD14_7x)+IFERROR(SUM(OSRRefE14_7x),0)</f>
        <v>2229989</v>
      </c>
    </row>
    <row r="40" spans="1:17" s="9" customFormat="1" hidden="1" outlineLevel="1" x14ac:dyDescent="0.25">
      <c r="A40" s="23"/>
      <c r="B40" s="10" t="str">
        <f>CONCATENATE("          ","5500", " - ","FREIGHT-IN")</f>
        <v xml:space="preserve">          5500 - FREIGHT-IN</v>
      </c>
      <c r="C40" s="22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/>
      <c r="O40" s="2"/>
      <c r="Q40" s="2">
        <f>SUM(OSRRefD14_8x)+IFERROR(SUM(OSRRefE14_8x),0)</f>
        <v>0</v>
      </c>
    </row>
    <row r="41" spans="1:17" s="9" customFormat="1" hidden="1" outlineLevel="1" x14ac:dyDescent="0.25">
      <c r="A41" s="23"/>
      <c r="B41" s="10" t="str">
        <f>CONCATENATE("          ","5581", " - ","FREIGHT-IN-ELECTRONICS")</f>
        <v xml:space="preserve">          5581 - FREIGHT-IN-ELECTRONICS</v>
      </c>
      <c r="C41" s="22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/>
      <c r="Q41" s="2">
        <f>SUM(OSRRefD14_9x)+IFERROR(SUM(OSRRefE14_9x),0)</f>
        <v>31</v>
      </c>
    </row>
    <row r="42" spans="1:17" s="9" customFormat="1" hidden="1" outlineLevel="1" x14ac:dyDescent="0.25">
      <c r="A42" s="23"/>
      <c r="B42" s="10" t="str">
        <f>CONCATENATE("          ","5582", " - ","FREIGHT-IN-COMPUTER HARDWARE")</f>
        <v xml:space="preserve">          5582 - FREIGHT-IN-COMPUTER HARDWARE</v>
      </c>
      <c r="C42" s="22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/>
      <c r="O42" s="2"/>
      <c r="Q42" s="2">
        <f>SUM(OSRRefD14_10x)+IFERROR(SUM(OSRRefE14_10x),0)</f>
        <v>125</v>
      </c>
    </row>
    <row r="43" spans="1:17" s="9" customFormat="1" hidden="1" outlineLevel="1" x14ac:dyDescent="0.25">
      <c r="A43" s="23"/>
      <c r="B43" s="10" t="str">
        <f>CONCATENATE("          ","5583", " - ","FREIGHT-IN-COMPUTER EQUIPMENT")</f>
        <v xml:space="preserve">          5583 - FREIGHT-IN-COMPUTER EQUIPMENT</v>
      </c>
      <c r="C43" s="22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Q43" s="2">
        <f>SUM(OSRRefD14_11x)+IFERROR(SUM(OSRRefE14_11x),0)</f>
        <v>242.45999999999998</v>
      </c>
    </row>
    <row r="44" spans="1:17" s="9" customFormat="1" hidden="1" outlineLevel="1" x14ac:dyDescent="0.25">
      <c r="A44" s="23"/>
      <c r="B44" s="10" t="str">
        <f>CONCATENATE("          ","5585", " - ","FREIGHT-IN-SOFTWARE")</f>
        <v xml:space="preserve">          5585 - FREIGHT-IN-SOFTWARE</v>
      </c>
      <c r="C44" s="22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Q44" s="2">
        <f>SUM(OSRRefD14_12x)+IFERROR(SUM(OSRRefE14_12x),0)</f>
        <v>9.41</v>
      </c>
    </row>
    <row r="45" spans="1:17" s="9" customFormat="1" hidden="1" outlineLevel="1" x14ac:dyDescent="0.25">
      <c r="A45" s="23"/>
      <c r="B45" s="10" t="str">
        <f>CONCATENATE("          ","5586", " - ","FREIGHT-IN-COMPUTER SUPPLIES")</f>
        <v xml:space="preserve">          5586 - FREIGHT-IN-COMPUTER SUPPLIES</v>
      </c>
      <c r="C45" s="22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SUM(OSRRefD14_13x)+IFERROR(SUM(OSRRefE14_13x),0)</f>
        <v>24.12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105</v>
      </c>
      <c r="C47" s="17"/>
      <c r="D47" s="8">
        <f t="shared" ref="D47:O47" si="9">IFERROR(+D10-D31, 0)</f>
        <v>24011.069999999978</v>
      </c>
      <c r="E47" s="8">
        <f t="shared" si="9"/>
        <v>13207.120000000054</v>
      </c>
      <c r="F47" s="8">
        <f t="shared" si="9"/>
        <v>1514.539999999979</v>
      </c>
      <c r="G47" s="8">
        <f t="shared" si="9"/>
        <v>16113.800000000047</v>
      </c>
      <c r="H47" s="8">
        <f t="shared" si="9"/>
        <v>-582.46999999999389</v>
      </c>
      <c r="I47" s="8">
        <f t="shared" si="9"/>
        <v>5113.6199999999808</v>
      </c>
      <c r="J47" s="8">
        <f t="shared" si="9"/>
        <v>18622.810000000012</v>
      </c>
      <c r="K47" s="8">
        <f t="shared" si="9"/>
        <v>3974.8700000000244</v>
      </c>
      <c r="L47" s="8">
        <f t="shared" si="9"/>
        <v>73059.260000000009</v>
      </c>
      <c r="M47" s="8">
        <f t="shared" si="9"/>
        <v>33814.44</v>
      </c>
      <c r="N47" s="8">
        <f t="shared" si="9"/>
        <v>7393</v>
      </c>
      <c r="O47" s="8">
        <f t="shared" si="9"/>
        <v>21603</v>
      </c>
      <c r="Q47" s="8">
        <f>IFERROR(+Q10-Q31, 0)</f>
        <v>217845.05999999912</v>
      </c>
    </row>
    <row r="48" spans="1:17" s="6" customFormat="1" x14ac:dyDescent="0.25">
      <c r="B48" s="16"/>
      <c r="C48" s="16"/>
      <c r="D48" s="4">
        <f t="shared" ref="D48:O48" si="10">IFERROR(D47/D10, 0)</f>
        <v>0.1154561152397828</v>
      </c>
      <c r="E48" s="4">
        <f t="shared" si="10"/>
        <v>2.6861695679827709E-2</v>
      </c>
      <c r="F48" s="4">
        <f t="shared" si="10"/>
        <v>5.7445851555646401E-3</v>
      </c>
      <c r="G48" s="4">
        <f t="shared" si="10"/>
        <v>9.3231302592966553E-2</v>
      </c>
      <c r="H48" s="4">
        <f t="shared" si="10"/>
        <v>-9.7433364273852175E-3</v>
      </c>
      <c r="I48" s="4">
        <f t="shared" si="10"/>
        <v>6.4369533249699365E-2</v>
      </c>
      <c r="J48" s="4">
        <f t="shared" si="10"/>
        <v>0.14414853387378046</v>
      </c>
      <c r="K48" s="4">
        <f t="shared" si="10"/>
        <v>2.1377754479297101E-2</v>
      </c>
      <c r="L48" s="4">
        <f t="shared" si="10"/>
        <v>0.17026746619075195</v>
      </c>
      <c r="M48" s="4">
        <f t="shared" si="10"/>
        <v>8.3859471468509209E-2</v>
      </c>
      <c r="N48" s="4">
        <f t="shared" si="10"/>
        <v>7.9999567160464441E-2</v>
      </c>
      <c r="O48" s="4">
        <f t="shared" si="10"/>
        <v>8.0000740644731241E-2</v>
      </c>
      <c r="P48" s="18"/>
      <c r="Q48" s="4">
        <f>IFERROR(Q47/Q10, 0)</f>
        <v>7.8214334684303721E-2</v>
      </c>
    </row>
    <row r="49" spans="1:17" x14ac:dyDescent="0.25">
      <c r="A49" s="5"/>
      <c r="B49" s="6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5" customFormat="1" x14ac:dyDescent="0.25">
      <c r="A50" s="6"/>
      <c r="B50" s="16" t="s">
        <v>254</v>
      </c>
      <c r="C50" s="6"/>
      <c r="D50" s="14">
        <f>SUM(OSRRefD20x_0)</f>
        <v>11779.660000000002</v>
      </c>
      <c r="E50" s="14">
        <f>SUM(OSRRefD20x_1)</f>
        <v>15135.81</v>
      </c>
      <c r="F50" s="14">
        <f>SUM(OSRRefD20x_2)</f>
        <v>12326.230000000003</v>
      </c>
      <c r="G50" s="14">
        <f>SUM(OSRRefD20x_3)</f>
        <v>14663.089999999998</v>
      </c>
      <c r="H50" s="14">
        <f>SUM(OSRRefD20x_4)</f>
        <v>12478.91</v>
      </c>
      <c r="I50" s="14">
        <f>SUM(OSRRefD20x_5)</f>
        <v>13842.730000000003</v>
      </c>
      <c r="J50" s="14">
        <f>SUM(OSRRefD20x_6)</f>
        <v>14258.260000000002</v>
      </c>
      <c r="K50" s="14">
        <f>SUM(OSRRefD20x_7)</f>
        <v>12623.33</v>
      </c>
      <c r="L50" s="14">
        <f>SUM(OSRRefD20x_8)</f>
        <v>16950.63</v>
      </c>
      <c r="M50" s="14">
        <f>SUM(OSRRefD20x_9)</f>
        <v>13637.129999999997</v>
      </c>
      <c r="N50" s="14">
        <f>SUM(OSRRefE20x_0)</f>
        <v>14655.622298846156</v>
      </c>
      <c r="O50" s="14">
        <f>SUM(OSRRefE20x_1)</f>
        <v>16429.988840446153</v>
      </c>
      <c r="Q50" s="14">
        <f>SUM(OSRRefG20x)</f>
        <v>168781.3911392923</v>
      </c>
    </row>
    <row r="51" spans="1:17" s="34" customFormat="1" collapsed="1" x14ac:dyDescent="0.25">
      <c r="A51" s="35"/>
      <c r="B51" s="11" t="str">
        <f>CONCATENATE("     ","*Benefits                                         ")</f>
        <v xml:space="preserve">     *Benefits                                         </v>
      </c>
      <c r="C51" s="11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SUM(OSRRefE21_0x_0)</f>
        <v>2324.7880988461538</v>
      </c>
      <c r="O51" s="1">
        <f>SUM(OSRRefE21_0x_1)</f>
        <v>2406.5494404461542</v>
      </c>
      <c r="Q51" s="2">
        <f>SUM(OSRRefD20_0x)+IFERROR(SUM(OSRRefE20_0x),0)</f>
        <v>34309.837539292304</v>
      </c>
    </row>
    <row r="52" spans="1:17" s="34" customFormat="1" hidden="1" outlineLevel="1" x14ac:dyDescent="0.25">
      <c r="A52" s="35"/>
      <c r="B52" s="10" t="str">
        <f>CONCATENATE("          ","6111", " - ","F.I.C.A.")</f>
        <v xml:space="preserve">          6111 - F.I.C.A.</v>
      </c>
      <c r="C52" s="11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425.68281899999999</v>
      </c>
      <c r="O52" s="2">
        <v>569.52248459999998</v>
      </c>
      <c r="P52" s="9"/>
      <c r="Q52" s="2">
        <f>SUM(OSRRefD21_0_0x)+IFERROR(SUM(OSRRefE21_0_0x),0)</f>
        <v>6409.0353035999997</v>
      </c>
    </row>
    <row r="53" spans="1:17" s="34" customFormat="1" hidden="1" outlineLevel="1" x14ac:dyDescent="0.25">
      <c r="A53" s="35"/>
      <c r="B53" s="10" t="str">
        <f>CONCATENATE("          ","6112", " - ","COMPENSATION INSURANCE")</f>
        <v xml:space="preserve">          6112 - COMPENSATION INSURANCE</v>
      </c>
      <c r="C53" s="11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160.14821000000001</v>
      </c>
      <c r="O53" s="2">
        <v>137.67366999999999</v>
      </c>
      <c r="P53" s="9"/>
      <c r="Q53" s="2">
        <f>SUM(OSRRefD21_0_1x)+IFERROR(SUM(OSRRefE21_0_1x),0)</f>
        <v>1832.25188</v>
      </c>
    </row>
    <row r="54" spans="1:17" s="34" customFormat="1" hidden="1" outlineLevel="1" x14ac:dyDescent="0.25">
      <c r="A54" s="35"/>
      <c r="B54" s="10" t="str">
        <f>CONCATENATE("          ","6113", " - ","GROUP INSURANCE")</f>
        <v xml:space="preserve">          6113 - GROUP INSURANCE</v>
      </c>
      <c r="C54" s="11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946.34615384615404</v>
      </c>
      <c r="O54" s="2">
        <v>946.34615384615404</v>
      </c>
      <c r="P54" s="9"/>
      <c r="Q54" s="2">
        <f>SUM(OSRRefD21_0_2x)+IFERROR(SUM(OSRRefE21_0_2x),0)</f>
        <v>12322.872307692311</v>
      </c>
    </row>
    <row r="55" spans="1:17" s="34" customFormat="1" hidden="1" outlineLevel="1" x14ac:dyDescent="0.25">
      <c r="A55" s="35"/>
      <c r="B55" s="10" t="str">
        <f>CONCATENATE("          ","6114", " - ","STATE UNEMPLOYMENT INSURANCE")</f>
        <v xml:space="preserve">          6114 - STATE UNEMPLOYMENT INSURANCE</v>
      </c>
      <c r="C55" s="11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22.507315999999999</v>
      </c>
      <c r="O55" s="2">
        <v>19.348731999999998</v>
      </c>
      <c r="P55" s="9"/>
      <c r="Q55" s="2">
        <f>SUM(OSRRefD21_0_3x)+IFERROR(SUM(OSRRefE21_0_3x),0)</f>
        <v>272.20604800000001</v>
      </c>
    </row>
    <row r="56" spans="1:17" s="34" customFormat="1" hidden="1" outlineLevel="1" x14ac:dyDescent="0.25">
      <c r="A56" s="35"/>
      <c r="B56" s="10" t="str">
        <f>CONCATENATE("          ","6115", " - ","P.E.R.S.")</f>
        <v xml:space="preserve">          6115 - P.E.R.S.</v>
      </c>
      <c r="C56" s="11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196.27780000000001</v>
      </c>
      <c r="O56" s="2">
        <v>196.27780000000001</v>
      </c>
      <c r="P56" s="9"/>
      <c r="Q56" s="2">
        <f>SUM(OSRRefD21_0_4x)+IFERROR(SUM(OSRRefE21_0_4x),0)</f>
        <v>2333.1756</v>
      </c>
    </row>
    <row r="57" spans="1:17" s="34" customFormat="1" hidden="1" outlineLevel="1" x14ac:dyDescent="0.25">
      <c r="A57" s="35"/>
      <c r="B57" s="10" t="str">
        <f>CONCATENATE("          ","6116", " - ","EDUCATIONAL BENEFITS")</f>
        <v xml:space="preserve">          6116 - EDUCATIONAL BENEFITS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SUM(OSRRefD21_0_5x)+IFERROR(SUM(OSRRefE21_0_5x),0)</f>
        <v>0</v>
      </c>
    </row>
    <row r="58" spans="1:17" s="34" customFormat="1" hidden="1" outlineLevel="1" x14ac:dyDescent="0.25">
      <c r="A58" s="35"/>
      <c r="B58" s="10" t="str">
        <f>CONCATENATE("          ","6117", " - ","RETIREMENT STAFF HOURLY")</f>
        <v xml:space="preserve">          6117 - RETIREMENT STAFF HOURLY</v>
      </c>
      <c r="C58" s="11"/>
      <c r="D58" s="2">
        <v>247.54</v>
      </c>
      <c r="E58" s="2">
        <v>190.54</v>
      </c>
      <c r="F58" s="2">
        <v>185.73</v>
      </c>
      <c r="G58" s="2">
        <v>155.75</v>
      </c>
      <c r="H58" s="2">
        <v>154.52000000000001</v>
      </c>
      <c r="I58" s="2">
        <v>170.96</v>
      </c>
      <c r="J58" s="2">
        <v>176</v>
      </c>
      <c r="K58" s="2">
        <v>176</v>
      </c>
      <c r="L58" s="2">
        <v>264</v>
      </c>
      <c r="M58" s="2">
        <v>174.9</v>
      </c>
      <c r="N58" s="2"/>
      <c r="O58" s="2"/>
      <c r="P58" s="9"/>
      <c r="Q58" s="2">
        <f>SUM(OSRRefD21_0_6x)+IFERROR(SUM(OSRRefE21_0_6x),0)</f>
        <v>1895.94</v>
      </c>
    </row>
    <row r="59" spans="1:17" s="34" customFormat="1" hidden="1" outlineLevel="1" x14ac:dyDescent="0.25">
      <c r="A59" s="35"/>
      <c r="B59" s="10" t="str">
        <f>CONCATENATE("          ","6118", " - ","VACATION")</f>
        <v xml:space="preserve">          6118 - VACATION</v>
      </c>
      <c r="C59" s="11"/>
      <c r="D59" s="2">
        <v>257.8</v>
      </c>
      <c r="E59" s="2">
        <v>257.8</v>
      </c>
      <c r="F59" s="2">
        <v>257.8</v>
      </c>
      <c r="G59" s="2">
        <v>386.7</v>
      </c>
      <c r="H59" s="2">
        <v>262.39999999999998</v>
      </c>
      <c r="I59" s="2">
        <v>267.04000000000002</v>
      </c>
      <c r="J59" s="2">
        <v>267.04000000000002</v>
      </c>
      <c r="K59" s="2">
        <v>267.04000000000002</v>
      </c>
      <c r="L59" s="2">
        <v>267.04000000000002</v>
      </c>
      <c r="M59" s="2">
        <v>400.56</v>
      </c>
      <c r="N59" s="2">
        <v>194.749</v>
      </c>
      <c r="O59" s="2">
        <v>194.749</v>
      </c>
      <c r="P59" s="9"/>
      <c r="Q59" s="2">
        <f>SUM(OSRRefD21_0_7x)+IFERROR(SUM(OSRRefE21_0_7x),0)</f>
        <v>3280.7179999999998</v>
      </c>
    </row>
    <row r="60" spans="1:17" s="34" customFormat="1" hidden="1" outlineLevel="1" x14ac:dyDescent="0.25">
      <c r="A60" s="35"/>
      <c r="B60" s="10" t="str">
        <f>CONCATENATE("          ","6119", " - ","SICK LEAVE")</f>
        <v xml:space="preserve">          6119 - SICK LEAVE</v>
      </c>
      <c r="C60" s="11"/>
      <c r="D60" s="2">
        <v>256.57</v>
      </c>
      <c r="E60" s="2">
        <v>256.57</v>
      </c>
      <c r="F60" s="2">
        <v>256.57</v>
      </c>
      <c r="G60" s="2">
        <v>384.85</v>
      </c>
      <c r="H60" s="2">
        <v>262.10000000000002</v>
      </c>
      <c r="I60" s="2">
        <v>267.63</v>
      </c>
      <c r="J60" s="2">
        <v>267.63</v>
      </c>
      <c r="K60" s="2">
        <v>267.63</v>
      </c>
      <c r="L60" s="2">
        <v>267.63</v>
      </c>
      <c r="M60" s="2">
        <v>401.45</v>
      </c>
      <c r="N60" s="2">
        <v>204.07679999999999</v>
      </c>
      <c r="O60" s="2">
        <v>167.63159999999999</v>
      </c>
      <c r="P60" s="9"/>
      <c r="Q60" s="2">
        <f>SUM(OSRRefD21_0_8x)+IFERROR(SUM(OSRRefE21_0_8x),0)</f>
        <v>3260.3384000000001</v>
      </c>
    </row>
    <row r="61" spans="1:17" s="34" customFormat="1" hidden="1" outlineLevel="1" x14ac:dyDescent="0.25">
      <c r="A61" s="35"/>
      <c r="B61" s="10" t="str">
        <f>CONCATENATE("          ","6156", " - ","EMPLOYEE MEALS")</f>
        <v xml:space="preserve">          6156 - EMPLOYEE MEALS</v>
      </c>
      <c r="C61" s="11"/>
      <c r="D61" s="2">
        <v>178.83</v>
      </c>
      <c r="E61" s="2">
        <v>196.22</v>
      </c>
      <c r="F61" s="2">
        <v>281.77</v>
      </c>
      <c r="G61" s="2">
        <v>223.68</v>
      </c>
      <c r="H61" s="2">
        <v>242.38</v>
      </c>
      <c r="I61" s="2">
        <v>366.04</v>
      </c>
      <c r="J61" s="2">
        <v>180.76</v>
      </c>
      <c r="K61" s="2">
        <v>175</v>
      </c>
      <c r="L61" s="2">
        <v>235.74</v>
      </c>
      <c r="M61" s="2">
        <v>272.88</v>
      </c>
      <c r="N61" s="2">
        <v>175</v>
      </c>
      <c r="O61" s="2">
        <v>175</v>
      </c>
      <c r="P61" s="9"/>
      <c r="Q61" s="2">
        <f>SUM(OSRRefD21_0_9x)+IFERROR(SUM(OSRRefE21_0_9x),0)</f>
        <v>2703.3</v>
      </c>
    </row>
    <row r="62" spans="1:17" s="34" customFormat="1" collapsed="1" x14ac:dyDescent="0.25">
      <c r="A62" s="35"/>
      <c r="B62" s="11" t="str">
        <f>CONCATENATE("     ","*Payroll                                          ")</f>
        <v xml:space="preserve">     *Payroll                                          </v>
      </c>
      <c r="C62" s="11"/>
      <c r="D62" s="1">
        <f>SUM(OSRRefD21_1x_0)</f>
        <v>6417.82</v>
      </c>
      <c r="E62" s="1">
        <f>SUM(OSRRefD21_1x_1)</f>
        <v>9389.67</v>
      </c>
      <c r="F62" s="1">
        <f>SUM(OSRRefD21_1x_2)</f>
        <v>7451.68</v>
      </c>
      <c r="G62" s="1">
        <f>SUM(OSRRefD21_1x_3)</f>
        <v>8904.4</v>
      </c>
      <c r="H62" s="1">
        <f>SUM(OSRRefD21_1x_4)</f>
        <v>7316.2099999999991</v>
      </c>
      <c r="I62" s="1">
        <f>SUM(OSRRefD21_1x_5)</f>
        <v>7948.3600000000006</v>
      </c>
      <c r="J62" s="1">
        <f>SUM(OSRRefD21_1x_6)</f>
        <v>9963.16</v>
      </c>
      <c r="K62" s="1">
        <f>SUM(OSRRefD21_1x_7)</f>
        <v>8014.16</v>
      </c>
      <c r="L62" s="1">
        <f>SUM(OSRRefD21_1x_8)</f>
        <v>8405.5</v>
      </c>
      <c r="M62" s="1">
        <f>SUM(OSRRefD21_1x_9)</f>
        <v>8263.98</v>
      </c>
      <c r="N62" s="1">
        <f>SUM(OSRRefE21_1x_0)</f>
        <v>8257.8342000000011</v>
      </c>
      <c r="O62" s="1">
        <f>SUM(OSRRefE21_1x_1)</f>
        <v>7079.4394000000002</v>
      </c>
      <c r="Q62" s="2">
        <f>SUM(OSRRefD20_1x)+IFERROR(SUM(OSRRefE20_1x),0)</f>
        <v>97412.213600000003</v>
      </c>
    </row>
    <row r="63" spans="1:17" s="34" customFormat="1" hidden="1" outlineLevel="1" x14ac:dyDescent="0.25">
      <c r="A63" s="35"/>
      <c r="B63" s="10" t="str">
        <f>CONCATENATE("          ","6001", " - ","ADMINISTRATIVE SALARIES")</f>
        <v xml:space="preserve">          6001 - ADMINISTRATIVE SALARIES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0</v>
      </c>
      <c r="O63" s="2">
        <v>0</v>
      </c>
      <c r="P63" s="9"/>
      <c r="Q63" s="2">
        <f>SUM(OSRRefD21_1_0x)+IFERROR(SUM(OSRRefE21_1_0x),0)</f>
        <v>0</v>
      </c>
    </row>
    <row r="64" spans="1:17" s="34" customFormat="1" hidden="1" outlineLevel="1" x14ac:dyDescent="0.25">
      <c r="A64" s="35"/>
      <c r="B64" s="10" t="str">
        <f>CONCATENATE("          ","6002", " - ","STAFF SALARIES")</f>
        <v xml:space="preserve">          6002 - STAFF SALARIES</v>
      </c>
      <c r="C64" s="11"/>
      <c r="D64" s="2">
        <v>2625.07</v>
      </c>
      <c r="E64" s="2">
        <v>2054.0700000000002</v>
      </c>
      <c r="F64" s="2">
        <v>2282.3000000000002</v>
      </c>
      <c r="G64" s="2">
        <v>2395.9899999999998</v>
      </c>
      <c r="H64" s="2">
        <v>1939.96</v>
      </c>
      <c r="I64" s="2">
        <v>1939.96</v>
      </c>
      <c r="J64" s="2">
        <v>2928.3</v>
      </c>
      <c r="K64" s="2">
        <v>2357.3000000000002</v>
      </c>
      <c r="L64" s="2">
        <v>2357.3000000000002</v>
      </c>
      <c r="M64" s="2">
        <v>2395.9899999999998</v>
      </c>
      <c r="N64" s="2">
        <v>2168.1849999999999</v>
      </c>
      <c r="O64" s="2">
        <v>2168.1849999999999</v>
      </c>
      <c r="P64" s="9"/>
      <c r="Q64" s="2">
        <f>SUM(OSRRefD21_1_1x)+IFERROR(SUM(OSRRefE21_1_1x),0)</f>
        <v>27612.609999999997</v>
      </c>
    </row>
    <row r="65" spans="1:17" s="34" customFormat="1" hidden="1" outlineLevel="1" x14ac:dyDescent="0.25">
      <c r="A65" s="35"/>
      <c r="B65" s="10" t="str">
        <f>CONCATENATE("          ","6003", " - ","STAFF HOURLY-9 MONTH")</f>
        <v xml:space="preserve">          6003 - STAFF HOURLY-9 MONTH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SUM(OSRRefD21_1_2x)+IFERROR(SUM(OSRRefE21_1_2x),0)</f>
        <v>0</v>
      </c>
    </row>
    <row r="66" spans="1:17" s="34" customFormat="1" hidden="1" outlineLevel="1" x14ac:dyDescent="0.25">
      <c r="A66" s="35"/>
      <c r="B66" s="10" t="str">
        <f>CONCATENATE("          ","6004", " - ","STAFF HOURLY")</f>
        <v xml:space="preserve">          6004 - STAFF HOURLY</v>
      </c>
      <c r="C66" s="11"/>
      <c r="D66" s="2">
        <v>3023.75</v>
      </c>
      <c r="E66" s="2">
        <v>3810.96</v>
      </c>
      <c r="F66" s="2">
        <v>3714.5</v>
      </c>
      <c r="G66" s="2">
        <v>3871.43</v>
      </c>
      <c r="H66" s="2">
        <v>3395.52</v>
      </c>
      <c r="I66" s="2">
        <v>3520</v>
      </c>
      <c r="J66" s="2">
        <v>3344</v>
      </c>
      <c r="K66" s="2">
        <v>3520</v>
      </c>
      <c r="L66" s="2">
        <v>3520</v>
      </c>
      <c r="M66" s="2">
        <v>4790.5</v>
      </c>
      <c r="N66" s="2">
        <v>3088.12</v>
      </c>
      <c r="O66" s="2">
        <v>3088.12</v>
      </c>
      <c r="P66" s="9"/>
      <c r="Q66" s="2">
        <f>SUM(OSRRefD21_1_3x)+IFERROR(SUM(OSRRefE21_1_3x),0)</f>
        <v>42686.9</v>
      </c>
    </row>
    <row r="67" spans="1:17" s="34" customFormat="1" hidden="1" outlineLevel="1" x14ac:dyDescent="0.25">
      <c r="A67" s="35"/>
      <c r="B67" s="10" t="str">
        <f>CONCATENATE("          ","6005", " - ","TEMPORARY WAGES-HOURLY")</f>
        <v xml:space="preserve">          6005 - TEMPORARY WAGES-HOURLY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SUM(OSRRefD21_1_4x)+IFERROR(SUM(OSRRefE21_1_4x),0)</f>
        <v>0</v>
      </c>
    </row>
    <row r="68" spans="1:17" s="34" customFormat="1" hidden="1" outlineLevel="1" x14ac:dyDescent="0.25">
      <c r="A68" s="35"/>
      <c r="B68" s="10" t="str">
        <f>CONCATENATE("          ","6006", " - ","TEMPORARY PART TIME")</f>
        <v xml:space="preserve">          6006 - TEMPORARY PART TIME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SUM(OSRRefD21_1_5x)+IFERROR(SUM(OSRRefE21_1_5x),0)</f>
        <v>0</v>
      </c>
    </row>
    <row r="69" spans="1:17" s="34" customFormat="1" hidden="1" outlineLevel="1" x14ac:dyDescent="0.25">
      <c r="A69" s="35"/>
      <c r="B69" s="10" t="str">
        <f>CONCATENATE("          ","6007", " - ","STUDENT HOURLY")</f>
        <v xml:space="preserve">          6007 - STUDENT HOURLY</v>
      </c>
      <c r="C69" s="11"/>
      <c r="D69" s="2">
        <v>769</v>
      </c>
      <c r="E69" s="2">
        <v>3524.64</v>
      </c>
      <c r="F69" s="2">
        <v>1454.88</v>
      </c>
      <c r="G69" s="2">
        <v>2636.98</v>
      </c>
      <c r="H69" s="2">
        <v>1980.73</v>
      </c>
      <c r="I69" s="2">
        <v>2488.4</v>
      </c>
      <c r="J69" s="2">
        <v>3690.86</v>
      </c>
      <c r="K69" s="2">
        <v>2136.86</v>
      </c>
      <c r="L69" s="2">
        <v>2528.1999999999998</v>
      </c>
      <c r="M69" s="2">
        <v>1077.49</v>
      </c>
      <c r="N69" s="2">
        <v>0</v>
      </c>
      <c r="O69" s="2">
        <v>1823.1343999999999</v>
      </c>
      <c r="P69" s="9"/>
      <c r="Q69" s="2">
        <f>SUM(OSRRefD21_1_6x)+IFERROR(SUM(OSRRefE21_1_6x),0)</f>
        <v>24111.1744</v>
      </c>
    </row>
    <row r="70" spans="1:17" s="34" customFormat="1" hidden="1" outlineLevel="1" x14ac:dyDescent="0.25">
      <c r="A70" s="35"/>
      <c r="B70" s="10" t="str">
        <f>CONCATENATE("          ","6008", " - ","STUDENT HOURLY-FICA EXEMPT")</f>
        <v xml:space="preserve">          6008 - STUDENT HOURLY-FICA EXEMPT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3001.5291999999999</v>
      </c>
      <c r="O70" s="2">
        <v>0</v>
      </c>
      <c r="P70" s="9"/>
      <c r="Q70" s="2">
        <f>SUM(OSRRefD21_1_7x)+IFERROR(SUM(OSRRefE21_1_7x),0)</f>
        <v>3001.5291999999999</v>
      </c>
    </row>
    <row r="71" spans="1:17" s="34" customFormat="1" hidden="1" outlineLevel="1" x14ac:dyDescent="0.25">
      <c r="A71" s="35"/>
      <c r="B71" s="10" t="str">
        <f>CONCATENATE("          ","6009", " - ","TEMPORARY-SEASONAL")</f>
        <v xml:space="preserve">          6009 - TEMPORARY-SEASONAL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SUM(OSRRefD21_1_8x)+IFERROR(SUM(OSRRefE21_1_8x),0)</f>
        <v>0</v>
      </c>
    </row>
    <row r="72" spans="1:17" s="34" customFormat="1" hidden="1" outlineLevel="1" x14ac:dyDescent="0.25">
      <c r="A72" s="35"/>
      <c r="B72" s="10" t="str">
        <f>CONCATENATE("          ","6010", " - ","GRATUITY")</f>
        <v xml:space="preserve">          6010 - GRATUITY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SUM(OSRRefD21_1_9x)+IFERROR(SUM(OSRRefE21_1_9x),0)</f>
        <v>0</v>
      </c>
    </row>
    <row r="73" spans="1:17" s="34" customFormat="1" collapsed="1" x14ac:dyDescent="0.25">
      <c r="A73" s="35"/>
      <c r="B73" s="11" t="str">
        <f>CONCATENATE("     ","Advertising/Promo                                 ")</f>
        <v xml:space="preserve">     Advertising/Promo                                 </v>
      </c>
      <c r="C73" s="11"/>
      <c r="D73" s="1">
        <f>SUM(OSRRefD21_2x_0)</f>
        <v>149.65</v>
      </c>
      <c r="E73" s="1">
        <f>SUM(OSRRefD21_2x_1)</f>
        <v>99.23</v>
      </c>
      <c r="F73" s="1">
        <f>SUM(OSRRefD21_2x_2)</f>
        <v>0</v>
      </c>
      <c r="G73" s="1">
        <f>SUM(OSRRefD21_2x_3)</f>
        <v>0</v>
      </c>
      <c r="H73" s="1">
        <f>SUM(OSRRefD21_2x_4)</f>
        <v>0</v>
      </c>
      <c r="I73" s="1">
        <f>SUM(OSRRefD21_2x_5)</f>
        <v>0</v>
      </c>
      <c r="J73" s="1">
        <f>SUM(OSRRefD21_2x_6)</f>
        <v>350.05</v>
      </c>
      <c r="K73" s="1">
        <f>SUM(OSRRefD21_2x_7)</f>
        <v>0</v>
      </c>
      <c r="L73" s="1">
        <f>SUM(OSRRefD21_2x_8)</f>
        <v>0</v>
      </c>
      <c r="M73" s="1">
        <f>SUM(OSRRefD21_2x_9)</f>
        <v>26.46</v>
      </c>
      <c r="N73" s="1">
        <f>SUM(OSRRefE21_2x_0)</f>
        <v>150</v>
      </c>
      <c r="O73" s="1">
        <f>SUM(OSRRefE21_2x_1)</f>
        <v>150</v>
      </c>
      <c r="Q73" s="2">
        <f>SUM(OSRRefD20_2x)+IFERROR(SUM(OSRRefE20_2x),0)</f>
        <v>925.3900000000001</v>
      </c>
    </row>
    <row r="74" spans="1:17" s="34" customFormat="1" hidden="1" outlineLevel="1" x14ac:dyDescent="0.25">
      <c r="A74" s="35"/>
      <c r="B74" s="10" t="str">
        <f>CONCATENATE("          ","6362", " - ","ADVERTISING EXPENSE")</f>
        <v xml:space="preserve">          6362 - ADVERTISING EXPENSE</v>
      </c>
      <c r="C74" s="11"/>
      <c r="D74" s="2">
        <v>149.65</v>
      </c>
      <c r="E74" s="2">
        <v>99.23</v>
      </c>
      <c r="F74" s="2"/>
      <c r="G74" s="2"/>
      <c r="H74" s="2"/>
      <c r="I74" s="2"/>
      <c r="J74" s="2">
        <v>350.05</v>
      </c>
      <c r="K74" s="2"/>
      <c r="L74" s="2"/>
      <c r="M74" s="2">
        <v>26.46</v>
      </c>
      <c r="N74" s="2">
        <v>150</v>
      </c>
      <c r="O74" s="2">
        <v>150</v>
      </c>
      <c r="P74" s="9"/>
      <c r="Q74" s="2">
        <f>SUM(OSRRefD21_2_0x)+IFERROR(SUM(OSRRefE21_2_0x),0)</f>
        <v>925.3900000000001</v>
      </c>
    </row>
    <row r="75" spans="1:17" s="34" customFormat="1" collapsed="1" x14ac:dyDescent="0.25">
      <c r="A75" s="35"/>
      <c r="B75" s="11" t="str">
        <f>CONCATENATE("     ","Depreciation                                      ")</f>
        <v xml:space="preserve">     Depreciation                                      </v>
      </c>
      <c r="C75" s="11"/>
      <c r="D75" s="1">
        <f>SUM(OSRRefD21_3x_0)</f>
        <v>280.44</v>
      </c>
      <c r="E75" s="1">
        <f>SUM(OSRRefD21_3x_1)</f>
        <v>280.44</v>
      </c>
      <c r="F75" s="1">
        <f>SUM(OSRRefD21_3x_2)</f>
        <v>280.44</v>
      </c>
      <c r="G75" s="1">
        <f>SUM(OSRRefD21_3x_3)</f>
        <v>280.44</v>
      </c>
      <c r="H75" s="1">
        <f>SUM(OSRRefD21_3x_4)</f>
        <v>280.44</v>
      </c>
      <c r="I75" s="1">
        <f>SUM(OSRRefD21_3x_5)</f>
        <v>280.44</v>
      </c>
      <c r="J75" s="1">
        <f>SUM(OSRRefD21_3x_6)</f>
        <v>280.44</v>
      </c>
      <c r="K75" s="1">
        <f>SUM(OSRRefD21_3x_7)</f>
        <v>280.44</v>
      </c>
      <c r="L75" s="1">
        <f>SUM(OSRRefD21_3x_8)</f>
        <v>280.44</v>
      </c>
      <c r="M75" s="1">
        <f>SUM(OSRRefD21_3x_9)</f>
        <v>280.44</v>
      </c>
      <c r="N75" s="1">
        <f>SUM(OSRRefE21_3x_0)</f>
        <v>300</v>
      </c>
      <c r="O75" s="1">
        <f>SUM(OSRRefE21_3x_1)</f>
        <v>300</v>
      </c>
      <c r="Q75" s="2">
        <f>SUM(OSRRefD20_3x)+IFERROR(SUM(OSRRefE20_3x),0)</f>
        <v>3404.4</v>
      </c>
    </row>
    <row r="76" spans="1:17" s="34" customFormat="1" hidden="1" outlineLevel="1" x14ac:dyDescent="0.25">
      <c r="A76" s="35"/>
      <c r="B76" s="10" t="str">
        <f>CONCATENATE("          ","6322", " - ","EQUIPMENT DEPRECIATION EXPENSE")</f>
        <v xml:space="preserve">          6322 - EQUIPMENT DEPRECIATION EXPENSE</v>
      </c>
      <c r="C76" s="11"/>
      <c r="D76" s="2">
        <v>280.44</v>
      </c>
      <c r="E76" s="2">
        <v>280.44</v>
      </c>
      <c r="F76" s="2">
        <v>280.44</v>
      </c>
      <c r="G76" s="2">
        <v>280.44</v>
      </c>
      <c r="H76" s="2">
        <v>280.44</v>
      </c>
      <c r="I76" s="2">
        <v>280.44</v>
      </c>
      <c r="J76" s="2">
        <v>280.44</v>
      </c>
      <c r="K76" s="2">
        <v>280.44</v>
      </c>
      <c r="L76" s="2">
        <v>280.44</v>
      </c>
      <c r="M76" s="2">
        <v>280.44</v>
      </c>
      <c r="N76" s="2">
        <v>300</v>
      </c>
      <c r="O76" s="2">
        <v>300</v>
      </c>
      <c r="P76" s="9"/>
      <c r="Q76" s="2">
        <f>SUM(OSRRefD21_3_0x)+IFERROR(SUM(OSRRefE21_3_0x),0)</f>
        <v>3404.4</v>
      </c>
    </row>
    <row r="77" spans="1:17" s="34" customFormat="1" collapsed="1" x14ac:dyDescent="0.25">
      <c r="A77" s="35"/>
      <c r="B77" s="11" t="str">
        <f>CONCATENATE("     ","Discounts and Markdowns                           ")</f>
        <v xml:space="preserve">     Discounts and Markdowns                           </v>
      </c>
      <c r="C77" s="11"/>
      <c r="D77" s="1">
        <f>SUM(OSRRefD21_4x_0)</f>
        <v>0</v>
      </c>
      <c r="E77" s="1">
        <f>SUM(OSRRefD21_4x_1)</f>
        <v>0</v>
      </c>
      <c r="F77" s="1">
        <f>SUM(OSRRefD21_4x_2)</f>
        <v>0</v>
      </c>
      <c r="G77" s="1">
        <f>SUM(OSRRefD21_4x_3)</f>
        <v>0</v>
      </c>
      <c r="H77" s="1">
        <f>SUM(OSRRefD21_4x_4)</f>
        <v>0</v>
      </c>
      <c r="I77" s="1">
        <f>SUM(OSRRefD21_4x_5)</f>
        <v>0</v>
      </c>
      <c r="J77" s="1">
        <f>SUM(OSRRefD21_4x_6)</f>
        <v>0</v>
      </c>
      <c r="K77" s="1">
        <f>SUM(OSRRefD21_4x_7)</f>
        <v>0</v>
      </c>
      <c r="L77" s="1">
        <f>SUM(OSRRefD21_4x_8)</f>
        <v>0</v>
      </c>
      <c r="M77" s="1">
        <f>SUM(OSRRefD21_4x_9)</f>
        <v>0</v>
      </c>
      <c r="N77" s="1">
        <f>SUM(OSRRefE21_4x_0)</f>
        <v>1493</v>
      </c>
      <c r="O77" s="1">
        <f>SUM(OSRRefE21_4x_1)</f>
        <v>4364</v>
      </c>
      <c r="Q77" s="2">
        <f>SUM(OSRRefD20_4x)+IFERROR(SUM(OSRRefE20_4x),0)</f>
        <v>5857</v>
      </c>
    </row>
    <row r="78" spans="1:17" s="34" customFormat="1" hidden="1" outlineLevel="1" x14ac:dyDescent="0.25">
      <c r="A78" s="35"/>
      <c r="B78" s="10" t="str">
        <f>CONCATENATE("          ","6382", " - ","DISCOUNTS/MARK DOWNS")</f>
        <v xml:space="preserve">          6382 - DISCOUNTS/MARK DOWNS</v>
      </c>
      <c r="C78" s="11"/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1493</v>
      </c>
      <c r="O78" s="2">
        <v>4364</v>
      </c>
      <c r="P78" s="9"/>
      <c r="Q78" s="2">
        <f>SUM(OSRRefD21_4_0x)+IFERROR(SUM(OSRRefE21_4_0x),0)</f>
        <v>5857</v>
      </c>
    </row>
    <row r="79" spans="1:17" s="34" customFormat="1" collapsed="1" x14ac:dyDescent="0.25">
      <c r="A79" s="35"/>
      <c r="B79" s="11" t="str">
        <f>CONCATENATE("     ","Employees' Appreciation                           ")</f>
        <v xml:space="preserve">     Employees' Appreciation                           </v>
      </c>
      <c r="C79" s="11"/>
      <c r="D79" s="1">
        <f>SUM(OSRRefD21_5x_0)</f>
        <v>0</v>
      </c>
      <c r="E79" s="1">
        <f>SUM(OSRRefD21_5x_1)</f>
        <v>0</v>
      </c>
      <c r="F79" s="1">
        <f>SUM(OSRRefD21_5x_2)</f>
        <v>0</v>
      </c>
      <c r="G79" s="1">
        <f>SUM(OSRRefD21_5x_3)</f>
        <v>0</v>
      </c>
      <c r="H79" s="1">
        <f>SUM(OSRRefD21_5x_4)</f>
        <v>0</v>
      </c>
      <c r="I79" s="1">
        <f>SUM(OSRRefD21_5x_5)</f>
        <v>0</v>
      </c>
      <c r="J79" s="1">
        <f>SUM(OSRRefD21_5x_6)</f>
        <v>0</v>
      </c>
      <c r="K79" s="1">
        <f>SUM(OSRRefD21_5x_7)</f>
        <v>0</v>
      </c>
      <c r="L79" s="1">
        <f>SUM(OSRRefD21_5x_8)</f>
        <v>0</v>
      </c>
      <c r="M79" s="1">
        <f>SUM(OSRRefD21_5x_9)</f>
        <v>0</v>
      </c>
      <c r="N79" s="1">
        <f>SUM(OSRRefE21_5x_0)</f>
        <v>20</v>
      </c>
      <c r="O79" s="1">
        <f>SUM(OSRRefE21_5x_1)</f>
        <v>20</v>
      </c>
      <c r="Q79" s="2">
        <f>SUM(OSRRefD20_5x)+IFERROR(SUM(OSRRefE20_5x),0)</f>
        <v>40</v>
      </c>
    </row>
    <row r="80" spans="1:17" s="34" customFormat="1" hidden="1" outlineLevel="1" x14ac:dyDescent="0.25">
      <c r="A80" s="35"/>
      <c r="B80" s="10" t="str">
        <f>CONCATENATE("          ","6277", " - ","EMPLOYEE APPRECIATION")</f>
        <v xml:space="preserve">          6277 - EMPLOYEE APPRECIATION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>
        <v>20</v>
      </c>
      <c r="O80" s="2">
        <v>20</v>
      </c>
      <c r="P80" s="9"/>
      <c r="Q80" s="2">
        <f>SUM(OSRRefD21_5_0x)+IFERROR(SUM(OSRRefE21_5_0x),0)</f>
        <v>40</v>
      </c>
    </row>
    <row r="81" spans="1:17" s="34" customFormat="1" collapsed="1" x14ac:dyDescent="0.25">
      <c r="A81" s="35"/>
      <c r="B81" s="11" t="str">
        <f>CONCATENATE("     ","Freight out/Postage                               ")</f>
        <v xml:space="preserve">     Freight out/Postage                               </v>
      </c>
      <c r="C81" s="11"/>
      <c r="D81" s="1">
        <f>SUM(OSRRefD21_6x_0)</f>
        <v>10.61</v>
      </c>
      <c r="E81" s="1">
        <f>SUM(OSRRefD21_6x_1)</f>
        <v>179.14000000000001</v>
      </c>
      <c r="F81" s="1">
        <f>SUM(OSRRefD21_6x_2)</f>
        <v>87.509999999999991</v>
      </c>
      <c r="G81" s="1">
        <f>SUM(OSRRefD21_6x_3)</f>
        <v>273.20999999999998</v>
      </c>
      <c r="H81" s="1">
        <f>SUM(OSRRefD21_6x_4)</f>
        <v>277.12</v>
      </c>
      <c r="I81" s="1">
        <f>SUM(OSRRefD21_6x_5)</f>
        <v>43.58</v>
      </c>
      <c r="J81" s="1">
        <f>SUM(OSRRefD21_6x_6)</f>
        <v>122.94</v>
      </c>
      <c r="K81" s="1">
        <f>SUM(OSRRefD21_6x_7)</f>
        <v>88.22</v>
      </c>
      <c r="L81" s="1">
        <f>SUM(OSRRefD21_6x_8)</f>
        <v>531.96</v>
      </c>
      <c r="M81" s="1">
        <f>SUM(OSRRefD21_6x_9)</f>
        <v>26.99</v>
      </c>
      <c r="N81" s="1">
        <f>SUM(OSRRefE21_6x_0)</f>
        <v>100</v>
      </c>
      <c r="O81" s="1">
        <f>SUM(OSRRefE21_6x_1)</f>
        <v>100</v>
      </c>
      <c r="Q81" s="2">
        <f>SUM(OSRRefD20_6x)+IFERROR(SUM(OSRRefE20_6x),0)</f>
        <v>1841.2800000000002</v>
      </c>
    </row>
    <row r="82" spans="1:17" s="34" customFormat="1" hidden="1" outlineLevel="1" x14ac:dyDescent="0.25">
      <c r="A82" s="35"/>
      <c r="B82" s="10" t="str">
        <f>CONCATENATE("          ","6305", " - ","FREIGHT OUT")</f>
        <v xml:space="preserve">          6305 - FREIGHT OUT</v>
      </c>
      <c r="C82" s="11"/>
      <c r="D82" s="2">
        <v>5.61</v>
      </c>
      <c r="E82" s="2">
        <v>175.34</v>
      </c>
      <c r="F82" s="2">
        <v>83.71</v>
      </c>
      <c r="G82" s="2">
        <v>273.20999999999998</v>
      </c>
      <c r="H82" s="2">
        <v>277.12</v>
      </c>
      <c r="I82" s="2">
        <v>43.58</v>
      </c>
      <c r="J82" s="2">
        <v>122.94</v>
      </c>
      <c r="K82" s="2">
        <v>88.22</v>
      </c>
      <c r="L82" s="2">
        <v>531.96</v>
      </c>
      <c r="M82" s="2">
        <v>26.99</v>
      </c>
      <c r="N82" s="2">
        <v>100</v>
      </c>
      <c r="O82" s="2">
        <v>100</v>
      </c>
      <c r="P82" s="9"/>
      <c r="Q82" s="2">
        <f>SUM(OSRRefD21_6_0x)+IFERROR(SUM(OSRRefE21_6_0x),0)</f>
        <v>1828.68</v>
      </c>
    </row>
    <row r="83" spans="1:17" s="34" customFormat="1" hidden="1" outlineLevel="1" x14ac:dyDescent="0.25">
      <c r="A83" s="35"/>
      <c r="B83" s="10" t="str">
        <f>CONCATENATE("          ","6307", " - ","POSTAGE")</f>
        <v xml:space="preserve">          6307 - POSTAGE</v>
      </c>
      <c r="C83" s="11"/>
      <c r="D83" s="2">
        <v>5</v>
      </c>
      <c r="E83" s="2">
        <v>3.8</v>
      </c>
      <c r="F83" s="2">
        <v>3.8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SUM(OSRRefD21_6_1x)+IFERROR(SUM(OSRRefE21_6_1x),0)</f>
        <v>12.600000000000001</v>
      </c>
    </row>
    <row r="84" spans="1:17" s="34" customFormat="1" collapsed="1" x14ac:dyDescent="0.25">
      <c r="A84" s="35"/>
      <c r="B84" s="11" t="str">
        <f>CONCATENATE("     ","General                                           ")</f>
        <v xml:space="preserve">     General                                           </v>
      </c>
      <c r="C84" s="11"/>
      <c r="D84" s="1">
        <f>SUM(OSRRefD21_7x_0)</f>
        <v>-30.15</v>
      </c>
      <c r="E84" s="1">
        <f>SUM(OSRRefD21_7x_1)</f>
        <v>0</v>
      </c>
      <c r="F84" s="1">
        <f>SUM(OSRRefD21_7x_2)</f>
        <v>0</v>
      </c>
      <c r="G84" s="1">
        <f>SUM(OSRRefD21_7x_3)</f>
        <v>0</v>
      </c>
      <c r="H84" s="1">
        <f>SUM(OSRRefD21_7x_4)</f>
        <v>0</v>
      </c>
      <c r="I84" s="1">
        <f>SUM(OSRRefD21_7x_5)</f>
        <v>0</v>
      </c>
      <c r="J84" s="1">
        <f>SUM(OSRRefD21_7x_6)</f>
        <v>0</v>
      </c>
      <c r="K84" s="1">
        <f>SUM(OSRRefD21_7x_7)</f>
        <v>0</v>
      </c>
      <c r="L84" s="1">
        <f>SUM(OSRRefD21_7x_8)</f>
        <v>0</v>
      </c>
      <c r="M84" s="1">
        <f>SUM(OSRRefD21_7x_9)</f>
        <v>0</v>
      </c>
      <c r="N84" s="1">
        <f>SUM(OSRRefE21_7x_0)</f>
        <v>30</v>
      </c>
      <c r="O84" s="1">
        <f>SUM(OSRRefE21_7x_1)</f>
        <v>30</v>
      </c>
      <c r="Q84" s="2">
        <f>SUM(OSRRefD20_7x)+IFERROR(SUM(OSRRefE20_7x),0)</f>
        <v>29.85</v>
      </c>
    </row>
    <row r="85" spans="1:17" s="34" customFormat="1" hidden="1" outlineLevel="1" x14ac:dyDescent="0.25">
      <c r="A85" s="35"/>
      <c r="B85" s="10" t="str">
        <f>CONCATENATE("          ","6279", " - ","GENERAL EXPENSE")</f>
        <v xml:space="preserve">          6279 - GENERAL EXPENSE</v>
      </c>
      <c r="C85" s="11"/>
      <c r="D85" s="2">
        <v>-30.15</v>
      </c>
      <c r="E85" s="2"/>
      <c r="F85" s="2"/>
      <c r="G85" s="2"/>
      <c r="H85" s="2"/>
      <c r="I85" s="2"/>
      <c r="J85" s="2"/>
      <c r="K85" s="2"/>
      <c r="L85" s="2"/>
      <c r="M85" s="2"/>
      <c r="N85" s="2">
        <v>30</v>
      </c>
      <c r="O85" s="2">
        <v>30</v>
      </c>
      <c r="P85" s="9"/>
      <c r="Q85" s="2">
        <f>SUM(OSRRefD21_7_0x)+IFERROR(SUM(OSRRefE21_7_0x),0)</f>
        <v>29.85</v>
      </c>
    </row>
    <row r="86" spans="1:17" s="34" customFormat="1" collapsed="1" x14ac:dyDescent="0.25">
      <c r="A86" s="35"/>
      <c r="B86" s="11" t="str">
        <f>CONCATENATE("     ","Inventory Adjustment                              ")</f>
        <v xml:space="preserve">     Inventory Adjustment                              </v>
      </c>
      <c r="C86" s="11"/>
      <c r="D86" s="1">
        <f>SUM(OSRRefD21_8x_0)</f>
        <v>1250</v>
      </c>
      <c r="E86" s="1">
        <f>SUM(OSRRefD21_8x_1)</f>
        <v>1250</v>
      </c>
      <c r="F86" s="1">
        <f>SUM(OSRRefD21_8x_2)</f>
        <v>1250</v>
      </c>
      <c r="G86" s="1">
        <f>SUM(OSRRefD21_8x_3)</f>
        <v>1250</v>
      </c>
      <c r="H86" s="1">
        <f>SUM(OSRRefD21_8x_4)</f>
        <v>1250</v>
      </c>
      <c r="I86" s="1">
        <f>SUM(OSRRefD21_8x_5)</f>
        <v>1250</v>
      </c>
      <c r="J86" s="1">
        <f>SUM(OSRRefD21_8x_6)</f>
        <v>1250</v>
      </c>
      <c r="K86" s="1">
        <f>SUM(OSRRefD21_8x_7)</f>
        <v>1250</v>
      </c>
      <c r="L86" s="1">
        <f>SUM(OSRRefD21_8x_8)</f>
        <v>1250</v>
      </c>
      <c r="M86" s="1">
        <f>SUM(OSRRefD21_8x_9)</f>
        <v>1250</v>
      </c>
      <c r="N86" s="1">
        <f>SUM(OSRRefE21_8x_0)</f>
        <v>1250</v>
      </c>
      <c r="O86" s="1">
        <f>SUM(OSRRefE21_8x_1)</f>
        <v>1250</v>
      </c>
      <c r="Q86" s="2">
        <f>SUM(OSRRefD20_8x)+IFERROR(SUM(OSRRefE20_8x),0)</f>
        <v>15000</v>
      </c>
    </row>
    <row r="87" spans="1:17" s="34" customFormat="1" hidden="1" outlineLevel="1" x14ac:dyDescent="0.25">
      <c r="A87" s="35"/>
      <c r="B87" s="10" t="str">
        <f>CONCATENATE("          ","6408", " - ","INVENTORY ADJUSTMENT")</f>
        <v xml:space="preserve">          6408 - INVENTORY ADJUSTMENT</v>
      </c>
      <c r="C87" s="11"/>
      <c r="D87" s="2">
        <v>1250</v>
      </c>
      <c r="E87" s="2">
        <v>1250</v>
      </c>
      <c r="F87" s="2">
        <v>1250</v>
      </c>
      <c r="G87" s="2">
        <v>1250</v>
      </c>
      <c r="H87" s="2">
        <v>1250</v>
      </c>
      <c r="I87" s="2">
        <v>1250</v>
      </c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SUM(OSRRefD21_8_0x)+IFERROR(SUM(OSRRefE21_8_0x),0)</f>
        <v>15000</v>
      </c>
    </row>
    <row r="88" spans="1:17" s="34" customFormat="1" collapsed="1" x14ac:dyDescent="0.25">
      <c r="A88" s="35"/>
      <c r="B88" s="11" t="str">
        <f>CONCATENATE("     ","Repair and Maintenance                            ")</f>
        <v xml:space="preserve">     Repair and Maintenance                            </v>
      </c>
      <c r="C88" s="11"/>
      <c r="D88" s="1">
        <f>SUM(OSRRefD21_9x_0)</f>
        <v>0</v>
      </c>
      <c r="E88" s="1">
        <f>SUM(OSRRefD21_9x_1)</f>
        <v>0</v>
      </c>
      <c r="F88" s="1">
        <f>SUM(OSRRefD21_9x_2)</f>
        <v>0</v>
      </c>
      <c r="G88" s="1">
        <f>SUM(OSRRefD21_9x_3)</f>
        <v>0</v>
      </c>
      <c r="H88" s="1">
        <f>SUM(OSRRefD21_9x_4)</f>
        <v>0</v>
      </c>
      <c r="I88" s="1">
        <f>SUM(OSRRefD21_9x_5)</f>
        <v>0</v>
      </c>
      <c r="J88" s="1">
        <f>SUM(OSRRefD21_9x_6)</f>
        <v>0</v>
      </c>
      <c r="K88" s="1">
        <f>SUM(OSRRefD21_9x_7)</f>
        <v>0</v>
      </c>
      <c r="L88" s="1">
        <f>SUM(OSRRefD21_9x_8)</f>
        <v>1550</v>
      </c>
      <c r="M88" s="1">
        <f>SUM(OSRRefD21_9x_9)</f>
        <v>0</v>
      </c>
      <c r="N88" s="1">
        <f>SUM(OSRRefE21_9x_0)</f>
        <v>20</v>
      </c>
      <c r="O88" s="1">
        <f>SUM(OSRRefE21_9x_1)</f>
        <v>20</v>
      </c>
      <c r="Q88" s="2">
        <f>SUM(OSRRefD20_9x)+IFERROR(SUM(OSRRefE20_9x),0)</f>
        <v>1590</v>
      </c>
    </row>
    <row r="89" spans="1:17" s="34" customFormat="1" hidden="1" outlineLevel="1" x14ac:dyDescent="0.25">
      <c r="A89" s="35"/>
      <c r="B89" s="10" t="str">
        <f>CONCATENATE("          ","6371", " - ","COMPUTER SOFTWARE MAINTENANCE")</f>
        <v xml:space="preserve">          6371 - COMPUTER SOFTWARE MAINTENANCE</v>
      </c>
      <c r="C89" s="11"/>
      <c r="D89" s="2"/>
      <c r="E89" s="2"/>
      <c r="F89" s="2"/>
      <c r="G89" s="2"/>
      <c r="H89" s="2"/>
      <c r="I89" s="2"/>
      <c r="J89" s="2"/>
      <c r="K89" s="2"/>
      <c r="L89" s="2">
        <v>1550</v>
      </c>
      <c r="M89" s="2"/>
      <c r="N89" s="2"/>
      <c r="O89" s="2"/>
      <c r="P89" s="9"/>
      <c r="Q89" s="2">
        <f>SUM(OSRRefD21_9_0x)+IFERROR(SUM(OSRRefE21_9_0x),0)</f>
        <v>1550</v>
      </c>
    </row>
    <row r="90" spans="1:17" s="34" customFormat="1" hidden="1" outlineLevel="1" x14ac:dyDescent="0.25">
      <c r="A90" s="35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20</v>
      </c>
      <c r="O90" s="2">
        <v>20</v>
      </c>
      <c r="P90" s="9"/>
      <c r="Q90" s="2">
        <f>SUM(OSRRefD21_9_1x)+IFERROR(SUM(OSRRefE21_9_1x),0)</f>
        <v>40</v>
      </c>
    </row>
    <row r="91" spans="1:17" s="34" customFormat="1" collapsed="1" x14ac:dyDescent="0.25">
      <c r="A91" s="35"/>
      <c r="B91" s="11" t="str">
        <f>CONCATENATE("     ","Subscriptions &amp; Dues                              ")</f>
        <v xml:space="preserve">     Subscriptions &amp; Dues                              </v>
      </c>
      <c r="C91" s="11"/>
      <c r="D91" s="1">
        <f>SUM(OSRRefD21_10x_0)</f>
        <v>0</v>
      </c>
      <c r="E91" s="1">
        <f>SUM(OSRRefD21_10x_1)</f>
        <v>0</v>
      </c>
      <c r="F91" s="1">
        <f>SUM(OSRRefD21_10x_2)</f>
        <v>0</v>
      </c>
      <c r="G91" s="1">
        <f>SUM(OSRRefD21_10x_3)</f>
        <v>0</v>
      </c>
      <c r="H91" s="1">
        <f>SUM(OSRRefD21_10x_4)</f>
        <v>0</v>
      </c>
      <c r="I91" s="1">
        <f>SUM(OSRRefD21_10x_5)</f>
        <v>0</v>
      </c>
      <c r="J91" s="1">
        <f>SUM(OSRRefD21_10x_6)</f>
        <v>0</v>
      </c>
      <c r="K91" s="1">
        <f>SUM(OSRRefD21_10x_7)</f>
        <v>0</v>
      </c>
      <c r="L91" s="1">
        <f>SUM(OSRRefD21_10x_8)</f>
        <v>0</v>
      </c>
      <c r="M91" s="1">
        <f>SUM(OSRRefD21_10x_9)</f>
        <v>142.22</v>
      </c>
      <c r="N91" s="1">
        <f>SUM(OSRRefE21_10x_0)</f>
        <v>0</v>
      </c>
      <c r="O91" s="1">
        <f>SUM(OSRRefE21_10x_1)</f>
        <v>0</v>
      </c>
      <c r="Q91" s="2">
        <f>SUM(OSRRefD20_10x)+IFERROR(SUM(OSRRefE20_10x),0)</f>
        <v>142.22</v>
      </c>
    </row>
    <row r="92" spans="1:17" s="34" customFormat="1" hidden="1" outlineLevel="1" x14ac:dyDescent="0.25">
      <c r="A92" s="35"/>
      <c r="B92" s="10" t="str">
        <f>CONCATENATE("          ","6275", " - ","SUBSCRIPTIONS")</f>
        <v xml:space="preserve">          6275 - SUBSCRIPTIONS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>
        <v>142.22</v>
      </c>
      <c r="N92" s="2"/>
      <c r="O92" s="2"/>
      <c r="P92" s="9"/>
      <c r="Q92" s="2">
        <f>SUM(OSRRefD21_10_0x)+IFERROR(SUM(OSRRefE21_10_0x),0)</f>
        <v>142.22</v>
      </c>
    </row>
    <row r="93" spans="1:17" s="34" customFormat="1" collapsed="1" x14ac:dyDescent="0.25">
      <c r="A93" s="35"/>
      <c r="B93" s="11" t="str">
        <f>CONCATENATE("     ","Supplies                                          ")</f>
        <v xml:space="preserve">     Supplies                                          </v>
      </c>
      <c r="C93" s="11"/>
      <c r="D93" s="1">
        <f>SUM(OSRRefD21_11x_0)</f>
        <v>668.12</v>
      </c>
      <c r="E93" s="1">
        <f>SUM(OSRRefD21_11x_1)</f>
        <v>787.43</v>
      </c>
      <c r="F93" s="1">
        <f>SUM(OSRRefD21_11x_2)</f>
        <v>39.36</v>
      </c>
      <c r="G93" s="1">
        <f>SUM(OSRRefD21_11x_3)</f>
        <v>29.59</v>
      </c>
      <c r="H93" s="1">
        <f>SUM(OSRRefD21_11x_4)</f>
        <v>176.21</v>
      </c>
      <c r="I93" s="1">
        <f>SUM(OSRRefD21_11x_5)</f>
        <v>1052.8599999999999</v>
      </c>
      <c r="J93" s="1">
        <f>SUM(OSRRefD21_11x_6)</f>
        <v>-683.71</v>
      </c>
      <c r="K93" s="1">
        <f>SUM(OSRRefD21_11x_7)</f>
        <v>8.74</v>
      </c>
      <c r="L93" s="1">
        <f>SUM(OSRRefD21_11x_8)</f>
        <v>1733.49</v>
      </c>
      <c r="M93" s="1">
        <f>SUM(OSRRefD21_11x_9)</f>
        <v>19.559999999999999</v>
      </c>
      <c r="N93" s="1">
        <f>SUM(OSRRefE21_11x_0)</f>
        <v>400</v>
      </c>
      <c r="O93" s="1">
        <f>SUM(OSRRefE21_11x_1)</f>
        <v>400</v>
      </c>
      <c r="Q93" s="2">
        <f>SUM(OSRRefD20_11x)+IFERROR(SUM(OSRRefE20_11x),0)</f>
        <v>4631.6499999999996</v>
      </c>
    </row>
    <row r="94" spans="1:17" s="34" customFormat="1" hidden="1" outlineLevel="1" x14ac:dyDescent="0.25">
      <c r="A94" s="35"/>
      <c r="B94" s="10" t="str">
        <f>CONCATENATE("          ","6234", " - ","EXPENDABLE SUPPLIES &amp; EQUIPMEN")</f>
        <v xml:space="preserve">          6234 - EXPENDABLE SUPPLIES &amp; EQUIPMEN</v>
      </c>
      <c r="C94" s="11"/>
      <c r="D94" s="2"/>
      <c r="E94" s="2"/>
      <c r="F94" s="2"/>
      <c r="G94" s="2"/>
      <c r="H94" s="2"/>
      <c r="I94" s="2"/>
      <c r="J94" s="2"/>
      <c r="K94" s="2"/>
      <c r="L94" s="2">
        <v>1733.49</v>
      </c>
      <c r="M94" s="2"/>
      <c r="N94" s="2"/>
      <c r="O94" s="2"/>
      <c r="P94" s="9"/>
      <c r="Q94" s="2">
        <f>SUM(OSRRefD21_11_0x)+IFERROR(SUM(OSRRefE21_11_0x),0)</f>
        <v>1733.49</v>
      </c>
    </row>
    <row r="95" spans="1:17" s="34" customFormat="1" hidden="1" outlineLevel="1" x14ac:dyDescent="0.25">
      <c r="A95" s="35"/>
      <c r="B95" s="10" t="str">
        <f>CONCATENATE("          ","6235", " - ","COVID-19 EXPENSES")</f>
        <v xml:space="preserve">          6235 - COVID-19 EXPENSES</v>
      </c>
      <c r="C95" s="11"/>
      <c r="D95" s="2">
        <v>668.12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9"/>
      <c r="Q95" s="2">
        <f>SUM(OSRRefD21_11_1x)+IFERROR(SUM(OSRRefE21_11_1x),0)</f>
        <v>668.12</v>
      </c>
    </row>
    <row r="96" spans="1:17" s="34" customFormat="1" hidden="1" outlineLevel="1" x14ac:dyDescent="0.25">
      <c r="A96" s="35"/>
      <c r="B96" s="10" t="str">
        <f>CONCATENATE("          ","6241", " - ","OFFICE EXPENSE")</f>
        <v xml:space="preserve">          6241 - OFFICE EXPENSE</v>
      </c>
      <c r="C96" s="11"/>
      <c r="D96" s="2"/>
      <c r="E96" s="2">
        <v>787.43</v>
      </c>
      <c r="F96" s="2">
        <v>39.36</v>
      </c>
      <c r="G96" s="2">
        <v>29.59</v>
      </c>
      <c r="H96" s="2">
        <v>176.21</v>
      </c>
      <c r="I96" s="2">
        <v>1052.8599999999999</v>
      </c>
      <c r="J96" s="2">
        <v>-683.71</v>
      </c>
      <c r="K96" s="2">
        <v>8.74</v>
      </c>
      <c r="L96" s="2"/>
      <c r="M96" s="2">
        <v>19.559999999999999</v>
      </c>
      <c r="N96" s="2">
        <v>150</v>
      </c>
      <c r="O96" s="2">
        <v>150</v>
      </c>
      <c r="P96" s="9"/>
      <c r="Q96" s="2">
        <f>SUM(OSRRefD21_11_2x)+IFERROR(SUM(OSRRefE21_11_2x),0)</f>
        <v>1730.0399999999997</v>
      </c>
    </row>
    <row r="97" spans="1:17" s="34" customFormat="1" hidden="1" outlineLevel="1" x14ac:dyDescent="0.25">
      <c r="A97" s="35"/>
      <c r="B97" s="10" t="str">
        <f>CONCATENATE("          ","6247", " - ","STORE SUPPLIES")</f>
        <v xml:space="preserve">          6247 - STORE SUPPLIES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>
        <v>250</v>
      </c>
      <c r="O97" s="2">
        <v>250</v>
      </c>
      <c r="P97" s="9"/>
      <c r="Q97" s="2">
        <f>SUM(OSRRefD21_11_3x)+IFERROR(SUM(OSRRefE21_11_3x),0)</f>
        <v>500</v>
      </c>
    </row>
    <row r="98" spans="1:17" s="34" customFormat="1" collapsed="1" x14ac:dyDescent="0.25">
      <c r="A98" s="35"/>
      <c r="B98" s="11" t="str">
        <f>CONCATENATE("     ","Telephone/Data Lines                              ")</f>
        <v xml:space="preserve">     Telephone/Data Lines                              </v>
      </c>
      <c r="C98" s="11"/>
      <c r="D98" s="1">
        <f>SUM(OSRRefD21_12x_0)</f>
        <v>304.8</v>
      </c>
      <c r="E98" s="1">
        <f>SUM(OSRRefD21_12x_1)</f>
        <v>306.75</v>
      </c>
      <c r="F98" s="1">
        <f>SUM(OSRRefD21_12x_2)</f>
        <v>300</v>
      </c>
      <c r="G98" s="1">
        <f>SUM(OSRRefD21_12x_3)</f>
        <v>354.3</v>
      </c>
      <c r="H98" s="1">
        <f>SUM(OSRRefD21_12x_4)</f>
        <v>304.5</v>
      </c>
      <c r="I98" s="1">
        <f>SUM(OSRRefD21_12x_5)</f>
        <v>282.95</v>
      </c>
      <c r="J98" s="1">
        <f>SUM(OSRRefD21_12x_6)</f>
        <v>227.45</v>
      </c>
      <c r="K98" s="1">
        <f>SUM(OSRRefD21_12x_7)</f>
        <v>250.65</v>
      </c>
      <c r="L98" s="1">
        <f>SUM(OSRRefD21_12x_8)</f>
        <v>274.85000000000002</v>
      </c>
      <c r="M98" s="1">
        <f>SUM(OSRRefD21_12x_9)</f>
        <v>271.3</v>
      </c>
      <c r="N98" s="1">
        <f>SUM(OSRRefE21_12x_0)</f>
        <v>310</v>
      </c>
      <c r="O98" s="1">
        <f>SUM(OSRRefE21_12x_1)</f>
        <v>310</v>
      </c>
      <c r="Q98" s="2">
        <f>SUM(OSRRefD20_12x)+IFERROR(SUM(OSRRefE20_12x),0)</f>
        <v>3497.55</v>
      </c>
    </row>
    <row r="99" spans="1:17" s="34" customFormat="1" hidden="1" outlineLevel="1" x14ac:dyDescent="0.25">
      <c r="A99" s="35"/>
      <c r="B99" s="10" t="str">
        <f>CONCATENATE("          ","6309", " - ","TELEPHONE")</f>
        <v xml:space="preserve">          6309 - TELEPHONE</v>
      </c>
      <c r="C99" s="11"/>
      <c r="D99" s="2">
        <v>304.8</v>
      </c>
      <c r="E99" s="2">
        <v>306.75</v>
      </c>
      <c r="F99" s="2">
        <v>300</v>
      </c>
      <c r="G99" s="2">
        <v>354.3</v>
      </c>
      <c r="H99" s="2">
        <v>304.5</v>
      </c>
      <c r="I99" s="2">
        <v>282.95</v>
      </c>
      <c r="J99" s="2">
        <v>227.45</v>
      </c>
      <c r="K99" s="2">
        <v>250.65</v>
      </c>
      <c r="L99" s="2">
        <v>274.85000000000002</v>
      </c>
      <c r="M99" s="2">
        <v>271.3</v>
      </c>
      <c r="N99" s="2">
        <v>310</v>
      </c>
      <c r="O99" s="2">
        <v>310</v>
      </c>
      <c r="P99" s="9"/>
      <c r="Q99" s="2">
        <f>SUM(OSRRefD21_12_0x)+IFERROR(SUM(OSRRefE21_12_0x),0)</f>
        <v>3497.55</v>
      </c>
    </row>
    <row r="100" spans="1:17" s="34" customFormat="1" collapsed="1" x14ac:dyDescent="0.25">
      <c r="A100" s="35"/>
      <c r="B100" s="11" t="str">
        <f>CONCATENATE("     ","Training                                          ")</f>
        <v xml:space="preserve">     Training                                          </v>
      </c>
      <c r="C100" s="11"/>
      <c r="D100" s="1">
        <f>SUM(OSRRefD21_13x_0)</f>
        <v>0</v>
      </c>
      <c r="E100" s="1">
        <f>SUM(OSRRefD21_13x_1)</f>
        <v>0</v>
      </c>
      <c r="F100" s="1">
        <f>SUM(OSRRefD21_13x_2)</f>
        <v>0</v>
      </c>
      <c r="G100" s="1">
        <f>SUM(OSRRefD21_13x_3)</f>
        <v>100</v>
      </c>
      <c r="H100" s="1">
        <f>SUM(OSRRefD21_13x_4)</f>
        <v>0</v>
      </c>
      <c r="I100" s="1">
        <f>SUM(OSRRefD21_13x_5)</f>
        <v>0</v>
      </c>
      <c r="J100" s="1">
        <f>SUM(OSRRefD21_13x_6)</f>
        <v>0</v>
      </c>
      <c r="K100" s="1">
        <f>SUM(OSRRefD21_13x_7)</f>
        <v>0</v>
      </c>
      <c r="L100" s="1">
        <f>SUM(OSRRefD21_13x_8)</f>
        <v>0</v>
      </c>
      <c r="M100" s="1">
        <f>SUM(OSRRefD21_13x_9)</f>
        <v>0</v>
      </c>
      <c r="N100" s="1">
        <f>SUM(OSRRefE21_13x_0)</f>
        <v>0</v>
      </c>
      <c r="O100" s="1">
        <f>SUM(OSRRefE21_13x_1)</f>
        <v>0</v>
      </c>
      <c r="Q100" s="2">
        <f>SUM(OSRRefD20_13x)+IFERROR(SUM(OSRRefE20_13x),0)</f>
        <v>100</v>
      </c>
    </row>
    <row r="101" spans="1:17" s="34" customFormat="1" hidden="1" outlineLevel="1" x14ac:dyDescent="0.25">
      <c r="A101" s="35"/>
      <c r="B101" s="10" t="str">
        <f>CONCATENATE("          ","6376", " - ","TRAINING")</f>
        <v xml:space="preserve">          6376 - TRAINING</v>
      </c>
      <c r="C101" s="11"/>
      <c r="D101" s="2"/>
      <c r="E101" s="2"/>
      <c r="F101" s="2"/>
      <c r="G101" s="2">
        <v>100</v>
      </c>
      <c r="H101" s="2"/>
      <c r="I101" s="2"/>
      <c r="J101" s="2"/>
      <c r="K101" s="2"/>
      <c r="L101" s="2"/>
      <c r="M101" s="2"/>
      <c r="N101" s="2"/>
      <c r="O101" s="2"/>
      <c r="P101" s="9"/>
      <c r="Q101" s="2">
        <f>SUM(OSRRefD21_13_0x)+IFERROR(SUM(OSRRefE21_13_0x),0)</f>
        <v>100</v>
      </c>
    </row>
    <row r="102" spans="1:17" s="30" customFormat="1" x14ac:dyDescent="0.25">
      <c r="A102" s="21"/>
      <c r="B102" s="21"/>
      <c r="C102" s="2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Q102" s="1"/>
    </row>
    <row r="103" spans="1:17" s="9" customFormat="1" x14ac:dyDescent="0.25">
      <c r="A103" s="23"/>
      <c r="B103" s="16" t="s">
        <v>291</v>
      </c>
      <c r="C103" s="22"/>
      <c r="D103" s="3">
        <f>-375.36</f>
        <v>-375.36</v>
      </c>
      <c r="E103" s="3">
        <f>-138.8</f>
        <v>-138.80000000000001</v>
      </c>
      <c r="F103" s="3">
        <f>--281.44</f>
        <v>281.44</v>
      </c>
      <c r="G103" s="3">
        <f>--1355.96</f>
        <v>1355.96</v>
      </c>
      <c r="H103" s="3">
        <f>-368.13</f>
        <v>-368.13</v>
      </c>
      <c r="I103" s="3">
        <f>-412.01</f>
        <v>-412.01</v>
      </c>
      <c r="J103" s="3">
        <f>--285.94</f>
        <v>285.94</v>
      </c>
      <c r="K103" s="3">
        <f>--649.6</f>
        <v>649.6</v>
      </c>
      <c r="L103" s="3">
        <f>--25561.24</f>
        <v>25561.24</v>
      </c>
      <c r="M103" s="3">
        <f>-23103.62</f>
        <v>-23103.62</v>
      </c>
      <c r="N103" s="3">
        <v>746</v>
      </c>
      <c r="O103" s="3">
        <v>2182</v>
      </c>
      <c r="Q103" s="2">
        <f>SUM(OSRRefD23_0x)+IFERROR(SUM(OSRRefE23_0x),0)</f>
        <v>6664.260000000002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25">
      <c r="A105" s="6"/>
      <c r="B105" s="17" t="s">
        <v>274</v>
      </c>
      <c r="C105" s="17"/>
      <c r="D105" s="8">
        <f t="shared" ref="D105:O105" si="11">IFERROR(+D47-D50+D103, 0)</f>
        <v>11856.049999999976</v>
      </c>
      <c r="E105" s="8">
        <f t="shared" si="11"/>
        <v>-2067.4899999999461</v>
      </c>
      <c r="F105" s="8">
        <f t="shared" si="11"/>
        <v>-10530.250000000024</v>
      </c>
      <c r="G105" s="8">
        <f t="shared" si="11"/>
        <v>2806.6700000000483</v>
      </c>
      <c r="H105" s="8">
        <f t="shared" si="11"/>
        <v>-13429.509999999993</v>
      </c>
      <c r="I105" s="8">
        <f t="shared" si="11"/>
        <v>-9141.1200000000226</v>
      </c>
      <c r="J105" s="8">
        <f t="shared" si="11"/>
        <v>4650.4900000000098</v>
      </c>
      <c r="K105" s="8">
        <f t="shared" si="11"/>
        <v>-7998.8599999999751</v>
      </c>
      <c r="L105" s="8">
        <f t="shared" si="11"/>
        <v>81669.87000000001</v>
      </c>
      <c r="M105" s="8">
        <f t="shared" si="11"/>
        <v>-2926.309999999994</v>
      </c>
      <c r="N105" s="8">
        <f t="shared" si="11"/>
        <v>-6516.6222988461559</v>
      </c>
      <c r="O105" s="8">
        <f t="shared" si="11"/>
        <v>7355.0111595538474</v>
      </c>
      <c r="Q105" s="8">
        <f>IFERROR(+Q47-Q50+Q103, 0)</f>
        <v>55727.928860706823</v>
      </c>
    </row>
    <row r="106" spans="1:17" s="6" customFormat="1" x14ac:dyDescent="0.25">
      <c r="B106" s="16"/>
      <c r="C106" s="16"/>
      <c r="D106" s="4">
        <f t="shared" ref="D106:O106" si="12">IFERROR(D105/D10, 0)</f>
        <v>5.7009265938112105E-2</v>
      </c>
      <c r="E106" s="4">
        <f t="shared" si="12"/>
        <v>-4.2050263192191274E-3</v>
      </c>
      <c r="F106" s="4">
        <f t="shared" si="12"/>
        <v>-3.9940785871872338E-2</v>
      </c>
      <c r="G106" s="4">
        <f t="shared" si="12"/>
        <v>1.623884496820149E-2</v>
      </c>
      <c r="H106" s="4">
        <f t="shared" si="12"/>
        <v>-0.22464373098174217</v>
      </c>
      <c r="I106" s="4">
        <f t="shared" si="12"/>
        <v>-0.11506713986950448</v>
      </c>
      <c r="J106" s="4">
        <f t="shared" si="12"/>
        <v>3.5996786483601474E-2</v>
      </c>
      <c r="K106" s="4">
        <f t="shared" si="12"/>
        <v>-4.3019687485192928E-2</v>
      </c>
      <c r="L106" s="4">
        <f t="shared" si="12"/>
        <v>0.19033482995896903</v>
      </c>
      <c r="M106" s="4">
        <f t="shared" si="12"/>
        <v>-7.2572193995527551E-3</v>
      </c>
      <c r="N106" s="4">
        <f t="shared" si="12"/>
        <v>-7.0516294231830548E-2</v>
      </c>
      <c r="O106" s="4">
        <f t="shared" si="12"/>
        <v>2.7237251317621225E-2</v>
      </c>
      <c r="P106" s="18"/>
      <c r="Q106" s="4">
        <f>IFERROR(Q105/Q10, 0)</f>
        <v>2.0008362269837147E-2</v>
      </c>
    </row>
    <row r="107" spans="1:17" x14ac:dyDescent="0.25">
      <c r="A107" s="5"/>
      <c r="B107" s="6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x14ac:dyDescent="0.25">
      <c r="A108" s="25"/>
      <c r="B108" s="6" t="s">
        <v>125</v>
      </c>
      <c r="C108" s="6"/>
      <c r="D108" s="3">
        <v>100199.48</v>
      </c>
      <c r="E108" s="3">
        <v>17925.13</v>
      </c>
      <c r="F108" s="3">
        <v>60328.69</v>
      </c>
      <c r="G108" s="3">
        <v>67655.09</v>
      </c>
      <c r="H108" s="3">
        <v>-56079.39</v>
      </c>
      <c r="I108" s="3">
        <v>45936.74</v>
      </c>
      <c r="J108" s="3">
        <v>18994.759999999998</v>
      </c>
      <c r="K108" s="3">
        <v>60009.69</v>
      </c>
      <c r="L108" s="3">
        <v>101243.25</v>
      </c>
      <c r="M108" s="3">
        <v>90642.79</v>
      </c>
      <c r="N108" s="3">
        <v>47270</v>
      </c>
      <c r="O108" s="3">
        <v>117821</v>
      </c>
      <c r="Q108" s="2">
        <f>SUM(OSRRefD28_0x)+IFERROR(SUM(OSRRefE28_0x),0)</f>
        <v>671947.23</v>
      </c>
    </row>
    <row r="109" spans="1:17" x14ac:dyDescent="0.25">
      <c r="A109" s="5"/>
      <c r="B109" s="6"/>
      <c r="C109" s="6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5" customFormat="1" ht="15.75" thickBot="1" x14ac:dyDescent="0.3">
      <c r="A110" s="6"/>
      <c r="B110" s="17" t="s">
        <v>124</v>
      </c>
      <c r="C110" s="17"/>
      <c r="D110" s="7">
        <f t="shared" ref="D110:O110" si="13">IFERROR(+D105-D108, 0)</f>
        <v>-88343.430000000022</v>
      </c>
      <c r="E110" s="7">
        <f t="shared" si="13"/>
        <v>-19992.619999999948</v>
      </c>
      <c r="F110" s="7">
        <f t="shared" si="13"/>
        <v>-70858.940000000031</v>
      </c>
      <c r="G110" s="7">
        <f t="shared" si="13"/>
        <v>-64848.419999999947</v>
      </c>
      <c r="H110" s="7">
        <f t="shared" si="13"/>
        <v>42649.880000000005</v>
      </c>
      <c r="I110" s="7">
        <f t="shared" si="13"/>
        <v>-55077.860000000022</v>
      </c>
      <c r="J110" s="7">
        <f t="shared" si="13"/>
        <v>-14344.26999999999</v>
      </c>
      <c r="K110" s="7">
        <f t="shared" si="13"/>
        <v>-68008.549999999974</v>
      </c>
      <c r="L110" s="7">
        <f t="shared" si="13"/>
        <v>-19573.37999999999</v>
      </c>
      <c r="M110" s="7">
        <f t="shared" si="13"/>
        <v>-93569.099999999991</v>
      </c>
      <c r="N110" s="7">
        <f t="shared" si="13"/>
        <v>-53786.622298846152</v>
      </c>
      <c r="O110" s="7">
        <f t="shared" si="13"/>
        <v>-110465.98884044615</v>
      </c>
      <c r="Q110" s="7">
        <f>IFERROR(+Q105-Q108, 0)</f>
        <v>-616219.30113929312</v>
      </c>
    </row>
    <row r="111" spans="1:17" ht="15.75" thickTop="1" x14ac:dyDescent="0.25">
      <c r="A111" s="5"/>
      <c r="B111" s="5"/>
      <c r="C111" s="5"/>
      <c r="D111" s="4">
        <f t="shared" ref="D111:O111" si="14">IFERROR(D110/D10, 0)</f>
        <v>-0.42479528129140837</v>
      </c>
      <c r="E111" s="4">
        <f t="shared" si="14"/>
        <v>-4.0662587625646889E-2</v>
      </c>
      <c r="F111" s="4">
        <f t="shared" si="14"/>
        <v>-0.26876491532944086</v>
      </c>
      <c r="G111" s="4">
        <f t="shared" si="14"/>
        <v>-0.37520030456476822</v>
      </c>
      <c r="H111" s="4">
        <f t="shared" si="14"/>
        <v>0.71343095683488023</v>
      </c>
      <c r="I111" s="4">
        <f t="shared" si="14"/>
        <v>-0.69331239720438775</v>
      </c>
      <c r="J111" s="4">
        <f t="shared" si="14"/>
        <v>-0.11103079986262278</v>
      </c>
      <c r="K111" s="4">
        <f t="shared" si="14"/>
        <v>-0.36576544249069559</v>
      </c>
      <c r="L111" s="4">
        <f t="shared" si="14"/>
        <v>-4.5616528519297053E-2</v>
      </c>
      <c r="M111" s="4">
        <f t="shared" si="14"/>
        <v>-0.23205042791730643</v>
      </c>
      <c r="N111" s="4">
        <f t="shared" si="14"/>
        <v>-0.58202441538361649</v>
      </c>
      <c r="O111" s="4">
        <f t="shared" si="14"/>
        <v>-0.40908026307866074</v>
      </c>
      <c r="P111" s="18"/>
      <c r="Q111" s="4">
        <f>IFERROR(Q110/Q10, 0)</f>
        <v>-0.22124524034759663</v>
      </c>
    </row>
    <row r="112" spans="1:17" x14ac:dyDescent="0.25">
      <c r="A112" s="5"/>
      <c r="B112" s="5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.75" thickBot="1" x14ac:dyDescent="0.3">
      <c r="A114" s="6"/>
      <c r="B114" s="17" t="s">
        <v>292</v>
      </c>
      <c r="C114" s="17"/>
      <c r="D114" s="7">
        <f t="shared" ref="D114:O114" si="15">IFERROR(SUM(D110:D113), 0)</f>
        <v>-88343.85479528131</v>
      </c>
      <c r="E114" s="7">
        <f t="shared" si="15"/>
        <v>-19992.660662587572</v>
      </c>
      <c r="F114" s="7">
        <f t="shared" si="15"/>
        <v>-70859.208764915355</v>
      </c>
      <c r="G114" s="7">
        <f t="shared" si="15"/>
        <v>-64848.795200304514</v>
      </c>
      <c r="H114" s="7">
        <f t="shared" si="15"/>
        <v>42650.59343095684</v>
      </c>
      <c r="I114" s="7">
        <f t="shared" si="15"/>
        <v>-55078.553312397227</v>
      </c>
      <c r="J114" s="7">
        <f t="shared" si="15"/>
        <v>-14344.381030799852</v>
      </c>
      <c r="K114" s="7">
        <f t="shared" si="15"/>
        <v>-68008.915765442463</v>
      </c>
      <c r="L114" s="7">
        <f t="shared" si="15"/>
        <v>-19573.425616528508</v>
      </c>
      <c r="M114" s="7">
        <f t="shared" si="15"/>
        <v>-93569.332050427911</v>
      </c>
      <c r="N114" s="7">
        <f t="shared" si="15"/>
        <v>-53787.204323261532</v>
      </c>
      <c r="O114" s="7">
        <f t="shared" si="15"/>
        <v>-110466.39792070923</v>
      </c>
      <c r="Q114" s="7">
        <f>IFERROR(SUM(Q110:Q113), 0)</f>
        <v>-616219.52238453343</v>
      </c>
    </row>
    <row r="115" spans="1:17" ht="15.75" thickTop="1" x14ac:dyDescent="0.25">
      <c r="A115" s="5"/>
      <c r="C115" s="5"/>
      <c r="D115" s="4">
        <f t="shared" ref="D115:O115" si="16">IFERROR(D114/D10, 0)</f>
        <v>-0.42479732389979485</v>
      </c>
      <c r="E115" s="4">
        <f t="shared" si="16"/>
        <v>-4.0662670328465843E-2</v>
      </c>
      <c r="F115" s="4">
        <f t="shared" si="16"/>
        <v>-0.26876593474321853</v>
      </c>
      <c r="G115" s="4">
        <f t="shared" si="16"/>
        <v>-0.37520247540051943</v>
      </c>
      <c r="H115" s="4">
        <f t="shared" si="16"/>
        <v>0.71344289083633983</v>
      </c>
      <c r="I115" s="4">
        <f t="shared" si="16"/>
        <v>-0.69332112452386097</v>
      </c>
      <c r="J115" s="4">
        <f t="shared" si="16"/>
        <v>-0.11103165928861783</v>
      </c>
      <c r="K115" s="4">
        <f t="shared" si="16"/>
        <v>-0.36576740966039589</v>
      </c>
      <c r="L115" s="4">
        <f t="shared" si="16"/>
        <v>-4.5616634830402951E-2</v>
      </c>
      <c r="M115" s="4">
        <f t="shared" si="16"/>
        <v>-0.23205100340003629</v>
      </c>
      <c r="N115" s="4">
        <f t="shared" si="16"/>
        <v>-0.58203071346305746</v>
      </c>
      <c r="O115" s="4">
        <f t="shared" si="16"/>
        <v>-0.40908177799436829</v>
      </c>
      <c r="P115" s="18"/>
      <c r="Q115" s="4">
        <f>IFERROR(Q114/Q10, 0)</f>
        <v>-0.22124531978272027</v>
      </c>
    </row>
    <row r="116" spans="1:17" x14ac:dyDescent="0.25">
      <c r="A116" s="5"/>
      <c r="B116" s="27">
        <v>44330.012769791669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Q116" s="13"/>
    </row>
    <row r="117" spans="1:17" x14ac:dyDescent="0.25">
      <c r="A117" s="5"/>
      <c r="B117" s="31" t="s">
        <v>54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  <row r="118" spans="1:17" x14ac:dyDescent="0.25">
      <c r="A118" s="5"/>
      <c r="B118" s="26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Q118" s="13"/>
    </row>
    <row r="119" spans="1:17" x14ac:dyDescent="0.25"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197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SUM(OSRRefE11x_0)</f>
        <v>731</v>
      </c>
      <c r="O10" s="3">
        <f>SUM(OSRRefE11x_1)</f>
        <v>151</v>
      </c>
      <c r="P10" s="24"/>
      <c r="Q10" s="3">
        <f>SUM(OSRRefG11x)</f>
        <v>3754.9199999999996</v>
      </c>
      <c r="R10" s="24"/>
    </row>
    <row r="11" spans="1:18" s="9" customFormat="1" hidden="1" outlineLevel="1" x14ac:dyDescent="0.25">
      <c r="A11" s="23"/>
      <c r="B11" s="10" t="str">
        <f>CONCATENATE("          ","4032", " - ","TAXABLE SALES-JUICE")</f>
        <v xml:space="preserve">          4032 - TAXABLE SALES-JUICE</v>
      </c>
      <c r="C11" s="22"/>
      <c r="D11" s="2">
        <f t="shared" ref="D11:D17" si="0">0</f>
        <v>0</v>
      </c>
      <c r="E11" s="2">
        <f>--88.2</f>
        <v>88.2</v>
      </c>
      <c r="F11" s="2">
        <f>--356.39</f>
        <v>356.39</v>
      </c>
      <c r="G11" s="2">
        <f t="shared" ref="G11:J17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ref="K11:M16" si="2">0</f>
        <v>0</v>
      </c>
      <c r="L11" s="2">
        <f t="shared" si="2"/>
        <v>0</v>
      </c>
      <c r="M11" s="2">
        <f t="shared" si="2"/>
        <v>0</v>
      </c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3"/>
      <c r="B12" s="10" t="str">
        <f>CONCATENATE("          ","4034", " - ","TAXABLE SALES-SODA")</f>
        <v xml:space="preserve">          4034 - TAXABLE SALES-SODA</v>
      </c>
      <c r="C12" s="22"/>
      <c r="D12" s="2">
        <f t="shared" si="0"/>
        <v>0</v>
      </c>
      <c r="E12" s="2">
        <f t="shared" ref="E12:F13" si="3">0</f>
        <v>0</v>
      </c>
      <c r="F12" s="2">
        <f t="shared" si="3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/>
      <c r="O12" s="2"/>
      <c r="Q12" s="2">
        <f>SUM(OSRRefD11_1x)+IFERROR(SUM(OSRRefE11_1x),0)</f>
        <v>0</v>
      </c>
    </row>
    <row r="13" spans="1:18" s="9" customFormat="1" hidden="1" outlineLevel="1" x14ac:dyDescent="0.25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si="3"/>
        <v>0</v>
      </c>
      <c r="F13" s="2">
        <f t="shared" si="3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2"/>
        <v>0</v>
      </c>
      <c r="L13" s="2">
        <f t="shared" si="2"/>
        <v>0</v>
      </c>
      <c r="M13" s="2">
        <f t="shared" si="2"/>
        <v>0</v>
      </c>
      <c r="N13" s="2">
        <v>731</v>
      </c>
      <c r="O13" s="2">
        <v>151</v>
      </c>
      <c r="Q13" s="2">
        <f>SUM(OSRRefD11_2x)+IFERROR(SUM(OSRRefE11_2x),0)</f>
        <v>882</v>
      </c>
    </row>
    <row r="14" spans="1:18" s="9" customFormat="1" hidden="1" outlineLevel="1" x14ac:dyDescent="0.25">
      <c r="A14" s="23"/>
      <c r="B14" s="10" t="str">
        <f>CONCATENATE("          ","4132", " - ","NON-TAXABLE SALES-JUICE")</f>
        <v xml:space="preserve">          4132 - NON-TAXABLE SALES-JUICE</v>
      </c>
      <c r="C14" s="22"/>
      <c r="D14" s="2">
        <f t="shared" si="0"/>
        <v>0</v>
      </c>
      <c r="E14" s="2">
        <f>--625.8</f>
        <v>625.79999999999995</v>
      </c>
      <c r="F14" s="2">
        <f>--1406.08</f>
        <v>1406.08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2"/>
        <v>0</v>
      </c>
      <c r="L14" s="2">
        <f t="shared" si="2"/>
        <v>0</v>
      </c>
      <c r="M14" s="2">
        <f t="shared" si="2"/>
        <v>0</v>
      </c>
      <c r="N14" s="2"/>
      <c r="O14" s="2"/>
      <c r="Q14" s="2">
        <f>SUM(OSRRefD11_3x)+IFERROR(SUM(OSRRefE11_3x),0)</f>
        <v>2031.8799999999999</v>
      </c>
    </row>
    <row r="15" spans="1:18" s="9" customFormat="1" hidden="1" outlineLevel="1" x14ac:dyDescent="0.25">
      <c r="A15" s="23"/>
      <c r="B15" s="10" t="str">
        <f>CONCATENATE("          ","4134", " - ","NON-TAXABLE SALES-SODA")</f>
        <v xml:space="preserve">          4134 - NON-TAXABLE SALES-SODA</v>
      </c>
      <c r="C15" s="22"/>
      <c r="D15" s="2">
        <f t="shared" si="0"/>
        <v>0</v>
      </c>
      <c r="E15" s="2">
        <f t="shared" ref="E15:F16" si="4">0</f>
        <v>0</v>
      </c>
      <c r="F15" s="2">
        <f t="shared" si="4"/>
        <v>0</v>
      </c>
      <c r="G15" s="2">
        <f t="shared" si="1"/>
        <v>0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2"/>
        <v>0</v>
      </c>
      <c r="L15" s="2">
        <f t="shared" si="2"/>
        <v>0</v>
      </c>
      <c r="M15" s="2">
        <f t="shared" si="2"/>
        <v>0</v>
      </c>
      <c r="N15" s="2"/>
      <c r="O15" s="2"/>
      <c r="Q15" s="2">
        <f>SUM(OSRRefD11_4x)+IFERROR(SUM(OSRRefE11_4x),0)</f>
        <v>0</v>
      </c>
    </row>
    <row r="16" spans="1:18" s="9" customFormat="1" hidden="1" outlineLevel="1" x14ac:dyDescent="0.25">
      <c r="A16" s="23"/>
      <c r="B16" s="10" t="str">
        <f>CONCATENATE("          ","4137", " - ","NON-TAXABLE SALES-WATER")</f>
        <v xml:space="preserve">          4137 - NON-TAXABLE SALES-WATER</v>
      </c>
      <c r="C16" s="22"/>
      <c r="D16" s="2">
        <f t="shared" si="0"/>
        <v>0</v>
      </c>
      <c r="E16" s="2">
        <f t="shared" si="4"/>
        <v>0</v>
      </c>
      <c r="F16" s="2">
        <f t="shared" si="4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/>
      <c r="O16" s="2"/>
      <c r="Q16" s="2">
        <f>SUM(OSRRefD11_5x)+IFERROR(SUM(OSRRefE11_5x),0)</f>
        <v>0</v>
      </c>
    </row>
    <row r="17" spans="1:17" s="9" customFormat="1" hidden="1" outlineLevel="1" x14ac:dyDescent="0.25">
      <c r="A17" s="23"/>
      <c r="B17" s="10" t="str">
        <f>CONCATENATE("          ","4153", " - ","NON-TAXABLE SALES-FOOD")</f>
        <v xml:space="preserve">          4153 - NON-TAXABLE SALES-FOOD</v>
      </c>
      <c r="C17" s="22"/>
      <c r="D17" s="2">
        <f t="shared" si="0"/>
        <v>0</v>
      </c>
      <c r="E17" s="2">
        <f>--110</f>
        <v>110</v>
      </c>
      <c r="F17" s="2">
        <f>0</f>
        <v>0</v>
      </c>
      <c r="G17" s="2">
        <f t="shared" si="1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>--134</f>
        <v>134</v>
      </c>
      <c r="L17" s="2">
        <f>--100.55</f>
        <v>100.55</v>
      </c>
      <c r="M17" s="2">
        <f>--51.9</f>
        <v>51.9</v>
      </c>
      <c r="N17" s="2"/>
      <c r="O17" s="2"/>
      <c r="Q17" s="2">
        <f>SUM(OSRRefD11_6x)+IFERROR(SUM(OSRRefE11_6x),0)</f>
        <v>396.45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3"/>
      <c r="B19" s="16" t="s">
        <v>217</v>
      </c>
      <c r="C19" s="22"/>
      <c r="D19" s="3">
        <f>SUM(OSRRefD14x_0)</f>
        <v>-226.87</v>
      </c>
      <c r="E19" s="3">
        <f>SUM(OSRRefD14x_1)</f>
        <v>-2042.7699999999998</v>
      </c>
      <c r="F19" s="3">
        <f>SUM(OSRRefD14x_2)</f>
        <v>53.15</v>
      </c>
      <c r="G19" s="3">
        <f>SUM(OSRRefD14x_3)</f>
        <v>11058.83</v>
      </c>
      <c r="H19" s="3">
        <f>SUM(OSRRefD14x_4)</f>
        <v>0</v>
      </c>
      <c r="I19" s="3">
        <f>SUM(OSRRefD14x_5)</f>
        <v>290.37</v>
      </c>
      <c r="J19" s="3">
        <f>SUM(OSRRefD14x_6)</f>
        <v>-257.75</v>
      </c>
      <c r="K19" s="3">
        <f>SUM(OSRRefD14x_7)</f>
        <v>19149</v>
      </c>
      <c r="L19" s="3">
        <f>SUM(OSRRefD14x_8)</f>
        <v>195.4</v>
      </c>
      <c r="M19" s="3">
        <f>SUM(OSRRefD14x_9)</f>
        <v>200.48000000000002</v>
      </c>
      <c r="N19" s="3">
        <f>SUM(OSRRefE14x_0)</f>
        <v>366</v>
      </c>
      <c r="O19" s="3">
        <f>SUM(OSRRefE14x_1)</f>
        <v>75</v>
      </c>
      <c r="Q19" s="3">
        <f>SUM(OSRRefG14x)</f>
        <v>28860.840000000004</v>
      </c>
    </row>
    <row r="20" spans="1:17" s="9" customFormat="1" hidden="1" outlineLevel="1" x14ac:dyDescent="0.25">
      <c r="A20" s="23"/>
      <c r="B20" s="10" t="str">
        <f>CONCATENATE("          ","5000", " - ","PURCHASES @ COST")</f>
        <v xml:space="preserve">          5000 - PURCHASES @ COST</v>
      </c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>
        <v>366</v>
      </c>
      <c r="O20" s="2">
        <v>75</v>
      </c>
      <c r="Q20" s="2">
        <f>SUM(OSRRefD14_0x)+IFERROR(SUM(OSRRefE14_0x),0)</f>
        <v>441</v>
      </c>
    </row>
    <row r="21" spans="1:17" s="9" customFormat="1" hidden="1" outlineLevel="1" x14ac:dyDescent="0.25">
      <c r="A21" s="23"/>
      <c r="B21" s="10" t="str">
        <f>CONCATENATE("          ","5053", " - ","PURCHASES @ COST-FOOD")</f>
        <v xml:space="preserve">          5053 - PURCHASES @ COST-FOOD</v>
      </c>
      <c r="C21" s="22"/>
      <c r="D21" s="2">
        <v>-226.87</v>
      </c>
      <c r="E21" s="2">
        <v>-2111.6799999999998</v>
      </c>
      <c r="F21" s="2">
        <v>53.15</v>
      </c>
      <c r="G21" s="2">
        <v>-570.16999999999996</v>
      </c>
      <c r="H21" s="2"/>
      <c r="I21" s="2">
        <v>290.37</v>
      </c>
      <c r="J21" s="2">
        <v>-257.75</v>
      </c>
      <c r="K21" s="2"/>
      <c r="L21" s="2">
        <v>176.4</v>
      </c>
      <c r="M21" s="2">
        <v>176.4</v>
      </c>
      <c r="N21" s="2"/>
      <c r="O21" s="2"/>
      <c r="Q21" s="2">
        <f>SUM(OSRRefD14_1x)+IFERROR(SUM(OSRRefE14_1x),0)</f>
        <v>-2470.1499999999996</v>
      </c>
    </row>
    <row r="22" spans="1:17" s="9" customFormat="1" hidden="1" outlineLevel="1" x14ac:dyDescent="0.25">
      <c r="A22" s="23"/>
      <c r="B22" s="10" t="str">
        <f>CONCATENATE("          ","5059", " - ","PURCHASES @ COST-FOOD")</f>
        <v xml:space="preserve">          5059 - PURCHASES @ COST-FOOD</v>
      </c>
      <c r="C22" s="22"/>
      <c r="D22" s="2"/>
      <c r="E22" s="2">
        <v>68.91</v>
      </c>
      <c r="F22" s="2"/>
      <c r="G22" s="2">
        <v>11629</v>
      </c>
      <c r="H22" s="2"/>
      <c r="I22" s="2"/>
      <c r="J22" s="2"/>
      <c r="K22" s="2">
        <v>19149</v>
      </c>
      <c r="L22" s="2">
        <v>19</v>
      </c>
      <c r="M22" s="2">
        <v>24.08</v>
      </c>
      <c r="N22" s="2"/>
      <c r="O22" s="2"/>
      <c r="Q22" s="2">
        <f>SUM(OSRRefD14_2x)+IFERROR(SUM(OSRRefE14_2x),0)</f>
        <v>30889.99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105</v>
      </c>
      <c r="C24" s="17"/>
      <c r="D24" s="8">
        <f t="shared" ref="D24:O24" si="5">IFERROR(+D10-D19, 0)</f>
        <v>226.87</v>
      </c>
      <c r="E24" s="8">
        <f t="shared" si="5"/>
        <v>2866.7699999999995</v>
      </c>
      <c r="F24" s="8">
        <f t="shared" si="5"/>
        <v>1709.3199999999997</v>
      </c>
      <c r="G24" s="8">
        <f t="shared" si="5"/>
        <v>-11058.83</v>
      </c>
      <c r="H24" s="8">
        <f t="shared" si="5"/>
        <v>0</v>
      </c>
      <c r="I24" s="8">
        <f t="shared" si="5"/>
        <v>-290.37</v>
      </c>
      <c r="J24" s="8">
        <f t="shared" si="5"/>
        <v>257.75</v>
      </c>
      <c r="K24" s="8">
        <f t="shared" si="5"/>
        <v>-19015</v>
      </c>
      <c r="L24" s="8">
        <f t="shared" si="5"/>
        <v>-94.850000000000009</v>
      </c>
      <c r="M24" s="8">
        <f t="shared" si="5"/>
        <v>-148.58000000000001</v>
      </c>
      <c r="N24" s="8">
        <f t="shared" si="5"/>
        <v>365</v>
      </c>
      <c r="O24" s="8">
        <f t="shared" si="5"/>
        <v>76</v>
      </c>
      <c r="Q24" s="8">
        <f>IFERROR(+Q10-Q19, 0)</f>
        <v>-25105.920000000006</v>
      </c>
    </row>
    <row r="25" spans="1:17" s="6" customFormat="1" x14ac:dyDescent="0.25">
      <c r="B25" s="16"/>
      <c r="C25" s="16"/>
      <c r="D25" s="4">
        <f t="shared" ref="D25:O25" si="6">IFERROR(D24/D10, 0)</f>
        <v>0</v>
      </c>
      <c r="E25" s="4">
        <f t="shared" si="6"/>
        <v>3.4790898058252422</v>
      </c>
      <c r="F25" s="4">
        <f t="shared" si="6"/>
        <v>0.9698434583283686</v>
      </c>
      <c r="G25" s="4">
        <f t="shared" si="6"/>
        <v>0</v>
      </c>
      <c r="H25" s="4">
        <f t="shared" si="6"/>
        <v>0</v>
      </c>
      <c r="I25" s="4">
        <f t="shared" si="6"/>
        <v>0</v>
      </c>
      <c r="J25" s="4">
        <f t="shared" si="6"/>
        <v>0</v>
      </c>
      <c r="K25" s="4">
        <f t="shared" si="6"/>
        <v>-141.90298507462686</v>
      </c>
      <c r="L25" s="4">
        <f t="shared" si="6"/>
        <v>-0.94331178518150183</v>
      </c>
      <c r="M25" s="4">
        <f t="shared" si="6"/>
        <v>-2.8628131021194609</v>
      </c>
      <c r="N25" s="4">
        <f t="shared" si="6"/>
        <v>0.4993160054719562</v>
      </c>
      <c r="O25" s="4">
        <f t="shared" si="6"/>
        <v>0.50331125827814571</v>
      </c>
      <c r="P25" s="18"/>
      <c r="Q25" s="4">
        <f>IFERROR(Q24/Q10, 0)</f>
        <v>-6.6861397846026032</v>
      </c>
    </row>
    <row r="26" spans="1:17" x14ac:dyDescent="0.25">
      <c r="A26" s="5"/>
      <c r="B26" s="6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5" customFormat="1" x14ac:dyDescent="0.25">
      <c r="A27" s="6"/>
      <c r="B27" s="16" t="s">
        <v>254</v>
      </c>
      <c r="C27" s="6"/>
      <c r="D27" s="14">
        <f>SUM(OSRRefD20x_0)</f>
        <v>35275.079999999994</v>
      </c>
      <c r="E27" s="14">
        <f>SUM(OSRRefD20x_1)</f>
        <v>29978.66</v>
      </c>
      <c r="F27" s="14">
        <f>SUM(OSRRefD20x_2)</f>
        <v>32187.000000000004</v>
      </c>
      <c r="G27" s="14">
        <f>SUM(OSRRefD20x_3)</f>
        <v>28394.239999999998</v>
      </c>
      <c r="H27" s="14">
        <f>SUM(OSRRefD20x_4)</f>
        <v>25744.79</v>
      </c>
      <c r="I27" s="14">
        <f>SUM(OSRRefD20x_5)</f>
        <v>20431.13</v>
      </c>
      <c r="J27" s="14">
        <f>SUM(OSRRefD20x_6)</f>
        <v>15948.990000000002</v>
      </c>
      <c r="K27" s="14">
        <f>SUM(OSRRefD20x_7)</f>
        <v>15632.02</v>
      </c>
      <c r="L27" s="14">
        <f>SUM(OSRRefD20x_8)</f>
        <v>13938.990000000003</v>
      </c>
      <c r="M27" s="14">
        <f>SUM(OSRRefD20x_9)</f>
        <v>15574.200000000003</v>
      </c>
      <c r="N27" s="14">
        <f>SUM(OSRRefE20x_0)</f>
        <v>21389.812864</v>
      </c>
      <c r="O27" s="14">
        <f>SUM(OSRRefE20x_1)</f>
        <v>21339.812864</v>
      </c>
      <c r="Q27" s="14">
        <f>SUM(OSRRefG20x)</f>
        <v>275834.72572800005</v>
      </c>
    </row>
    <row r="28" spans="1:17" s="34" customFormat="1" collapsed="1" x14ac:dyDescent="0.25">
      <c r="A28" s="35"/>
      <c r="B28" s="11" t="str">
        <f>CONCATENATE("     ","*Benefits                                         ")</f>
        <v xml:space="preserve">     *Benefits                                         </v>
      </c>
      <c r="C28" s="11"/>
      <c r="D28" s="1">
        <f>SUM(OSRRefD21_0x_0)</f>
        <v>8995.1999999999989</v>
      </c>
      <c r="E28" s="1">
        <f>SUM(OSRRefD21_0x_1)</f>
        <v>5943.08</v>
      </c>
      <c r="F28" s="1">
        <f>SUM(OSRRefD21_0x_2)</f>
        <v>6025.29</v>
      </c>
      <c r="G28" s="1">
        <f>SUM(OSRRefD21_0x_3)</f>
        <v>6403.2999999999993</v>
      </c>
      <c r="H28" s="1">
        <f>SUM(OSRRefD21_0x_4)</f>
        <v>5031</v>
      </c>
      <c r="I28" s="1">
        <f>SUM(OSRRefD21_0x_5)</f>
        <v>2627.39</v>
      </c>
      <c r="J28" s="1">
        <f>SUM(OSRRefD21_0x_6)</f>
        <v>0</v>
      </c>
      <c r="K28" s="1">
        <f>SUM(OSRRefD21_0x_7)</f>
        <v>0</v>
      </c>
      <c r="L28" s="1">
        <f>SUM(OSRRefD21_0x_8)</f>
        <v>0</v>
      </c>
      <c r="M28" s="1">
        <f>SUM(OSRRefD21_0x_9)</f>
        <v>0</v>
      </c>
      <c r="N28" s="1">
        <f>SUM(OSRRefE21_0x_0)</f>
        <v>3429.2928639999996</v>
      </c>
      <c r="O28" s="1">
        <f>SUM(OSRRefE21_0x_1)</f>
        <v>3429.2928639999996</v>
      </c>
      <c r="Q28" s="2">
        <f>SUM(OSRRefD20_0x)+IFERROR(SUM(OSRRefE20_0x),0)</f>
        <v>41883.845728</v>
      </c>
    </row>
    <row r="29" spans="1:17" s="34" customFormat="1" hidden="1" outlineLevel="1" x14ac:dyDescent="0.25">
      <c r="A29" s="35"/>
      <c r="B29" s="10" t="str">
        <f>CONCATENATE("          ","6111", " - ","F.I.C.A.")</f>
        <v xml:space="preserve">          6111 - F.I.C.A.</v>
      </c>
      <c r="C29" s="11"/>
      <c r="D29" s="2">
        <v>861.18</v>
      </c>
      <c r="E29" s="2">
        <v>675.92</v>
      </c>
      <c r="F29" s="2">
        <v>812.39</v>
      </c>
      <c r="G29" s="2">
        <v>1222.23</v>
      </c>
      <c r="H29" s="2">
        <v>337.96</v>
      </c>
      <c r="I29" s="2"/>
      <c r="J29" s="2"/>
      <c r="K29" s="2"/>
      <c r="L29" s="2"/>
      <c r="M29" s="2"/>
      <c r="N29" s="2">
        <v>343.83398399999999</v>
      </c>
      <c r="O29" s="2">
        <v>343.83398399999999</v>
      </c>
      <c r="P29" s="9"/>
      <c r="Q29" s="2">
        <f>SUM(OSRRefD21_0_0x)+IFERROR(SUM(OSRRefE21_0_0x),0)</f>
        <v>4597.347968</v>
      </c>
    </row>
    <row r="30" spans="1:17" s="34" customFormat="1" hidden="1" outlineLevel="1" x14ac:dyDescent="0.25">
      <c r="A30" s="35"/>
      <c r="B30" s="10" t="str">
        <f>CONCATENATE("          ","6112", " - ","COMPENSATION INSURANCE")</f>
        <v xml:space="preserve">          6112 - COMPENSATION INSURANCE</v>
      </c>
      <c r="C30" s="11"/>
      <c r="D30" s="2">
        <v>169.78</v>
      </c>
      <c r="E30" s="2">
        <v>163.46</v>
      </c>
      <c r="F30" s="2">
        <v>163.46</v>
      </c>
      <c r="G30" s="2">
        <v>163.46</v>
      </c>
      <c r="H30" s="2">
        <v>170.51</v>
      </c>
      <c r="I30" s="2"/>
      <c r="J30" s="2"/>
      <c r="K30" s="2"/>
      <c r="L30" s="2"/>
      <c r="M30" s="2"/>
      <c r="N30" s="2">
        <v>83.116799999999998</v>
      </c>
      <c r="O30" s="2">
        <v>83.116799999999998</v>
      </c>
      <c r="P30" s="9"/>
      <c r="Q30" s="2">
        <f>SUM(OSRRefD21_0_1x)+IFERROR(SUM(OSRRefE21_0_1x),0)</f>
        <v>996.9036000000001</v>
      </c>
    </row>
    <row r="31" spans="1:17" s="34" customFormat="1" hidden="1" outlineLevel="1" x14ac:dyDescent="0.25">
      <c r="A31" s="35"/>
      <c r="B31" s="10" t="str">
        <f>CONCATENATE("          ","6113", " - ","GROUP INSURANCE")</f>
        <v xml:space="preserve">          6113 - GROUP INSURANCE</v>
      </c>
      <c r="C31" s="11"/>
      <c r="D31" s="2">
        <v>4620.57</v>
      </c>
      <c r="E31" s="2">
        <v>2704.94</v>
      </c>
      <c r="F31" s="2">
        <v>2704.94</v>
      </c>
      <c r="G31" s="2">
        <v>2704.94</v>
      </c>
      <c r="H31" s="2">
        <v>2704.94</v>
      </c>
      <c r="I31" s="2">
        <v>2627.39</v>
      </c>
      <c r="J31" s="2"/>
      <c r="K31" s="2"/>
      <c r="L31" s="2"/>
      <c r="M31" s="2"/>
      <c r="N31" s="2">
        <v>1980</v>
      </c>
      <c r="O31" s="2">
        <v>1980</v>
      </c>
      <c r="P31" s="9"/>
      <c r="Q31" s="2">
        <f>SUM(OSRRefD21_0_2x)+IFERROR(SUM(OSRRefE21_0_2x),0)</f>
        <v>22027.72</v>
      </c>
    </row>
    <row r="32" spans="1:17" s="34" customFormat="1" hidden="1" outlineLevel="1" x14ac:dyDescent="0.25">
      <c r="A32" s="35"/>
      <c r="B32" s="10" t="str">
        <f>CONCATENATE("          ","6114", " - ","STATE UNEMPLOYMENT INSURANCE")</f>
        <v xml:space="preserve">          6114 - STATE UNEMPLOYMENT INSURANCE</v>
      </c>
      <c r="C32" s="11"/>
      <c r="D32" s="2">
        <v>23.86</v>
      </c>
      <c r="E32" s="2">
        <v>22.98</v>
      </c>
      <c r="F32" s="2">
        <v>22.98</v>
      </c>
      <c r="G32" s="2">
        <v>22.98</v>
      </c>
      <c r="H32" s="2">
        <v>39.35</v>
      </c>
      <c r="I32" s="2"/>
      <c r="J32" s="2"/>
      <c r="K32" s="2"/>
      <c r="L32" s="2"/>
      <c r="M32" s="2"/>
      <c r="N32" s="2">
        <v>11.681279999999999</v>
      </c>
      <c r="O32" s="2">
        <v>11.681279999999999</v>
      </c>
      <c r="P32" s="9"/>
      <c r="Q32" s="2">
        <f>SUM(OSRRefD21_0_3x)+IFERROR(SUM(OSRRefE21_0_3x),0)</f>
        <v>155.51256000000001</v>
      </c>
    </row>
    <row r="33" spans="1:17" s="34" customFormat="1" hidden="1" outlineLevel="1" x14ac:dyDescent="0.25">
      <c r="A33" s="35"/>
      <c r="B33" s="10" t="str">
        <f>CONCATENATE("          ","6115", " - ","P.E.R.S.")</f>
        <v xml:space="preserve">          6115 - P.E.R.S.</v>
      </c>
      <c r="C33" s="11"/>
      <c r="D33" s="2">
        <v>1862.33</v>
      </c>
      <c r="E33" s="2">
        <v>935.63</v>
      </c>
      <c r="F33" s="2">
        <v>935.63</v>
      </c>
      <c r="G33" s="2">
        <v>561.37</v>
      </c>
      <c r="H33" s="2">
        <v>1230.53</v>
      </c>
      <c r="I33" s="2"/>
      <c r="J33" s="2"/>
      <c r="K33" s="2"/>
      <c r="L33" s="2"/>
      <c r="M33" s="2"/>
      <c r="N33" s="2">
        <v>386.38080000000002</v>
      </c>
      <c r="O33" s="2">
        <v>386.38080000000002</v>
      </c>
      <c r="P33" s="9"/>
      <c r="Q33" s="2">
        <f>SUM(OSRRefD21_0_4x)+IFERROR(SUM(OSRRefE21_0_4x),0)</f>
        <v>6298.2515999999996</v>
      </c>
    </row>
    <row r="34" spans="1:17" s="34" customFormat="1" hidden="1" outlineLevel="1" x14ac:dyDescent="0.25">
      <c r="A34" s="35"/>
      <c r="B34" s="10" t="str">
        <f>CONCATENATE("          ","6116", " - ","EDUCATIONAL BENEFITS")</f>
        <v xml:space="preserve">          6116 - EDUCATIONAL BENEFITS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4" customFormat="1" hidden="1" outlineLevel="1" x14ac:dyDescent="0.25">
      <c r="A35" s="35"/>
      <c r="B35" s="10" t="str">
        <f>CONCATENATE("          ","6118", " - ","VACATION")</f>
        <v xml:space="preserve">          6118 - VACATION</v>
      </c>
      <c r="C35" s="11"/>
      <c r="D35" s="2">
        <v>798.88</v>
      </c>
      <c r="E35" s="2">
        <v>646.78</v>
      </c>
      <c r="F35" s="2">
        <v>646.78</v>
      </c>
      <c r="G35" s="2">
        <v>970.17</v>
      </c>
      <c r="H35" s="2">
        <v>323.39</v>
      </c>
      <c r="I35" s="2"/>
      <c r="J35" s="2"/>
      <c r="K35" s="2"/>
      <c r="L35" s="2"/>
      <c r="M35" s="2"/>
      <c r="N35" s="2">
        <v>224.64</v>
      </c>
      <c r="O35" s="2">
        <v>224.64</v>
      </c>
      <c r="P35" s="9"/>
      <c r="Q35" s="2">
        <f>SUM(OSRRefD21_0_6x)+IFERROR(SUM(OSRRefE21_0_6x),0)</f>
        <v>3835.2799999999997</v>
      </c>
    </row>
    <row r="36" spans="1:17" s="34" customFormat="1" hidden="1" outlineLevel="1" x14ac:dyDescent="0.25">
      <c r="A36" s="35"/>
      <c r="B36" s="10" t="str">
        <f>CONCATENATE("          ","6119", " - ","SICK LEAVE")</f>
        <v xml:space="preserve">          6119 - SICK LEAVE</v>
      </c>
      <c r="C36" s="11"/>
      <c r="D36" s="2">
        <v>652.62</v>
      </c>
      <c r="E36" s="2">
        <v>448.64</v>
      </c>
      <c r="F36" s="2">
        <v>448.64</v>
      </c>
      <c r="G36" s="2">
        <v>672.96</v>
      </c>
      <c r="H36" s="2">
        <v>224.32</v>
      </c>
      <c r="I36" s="2"/>
      <c r="J36" s="2"/>
      <c r="K36" s="2"/>
      <c r="L36" s="2"/>
      <c r="M36" s="2"/>
      <c r="N36" s="2">
        <v>224.64</v>
      </c>
      <c r="O36" s="2">
        <v>224.64</v>
      </c>
      <c r="P36" s="9"/>
      <c r="Q36" s="2">
        <f>SUM(OSRRefD21_0_7x)+IFERROR(SUM(OSRRefE21_0_7x),0)</f>
        <v>2896.46</v>
      </c>
    </row>
    <row r="37" spans="1:17" s="34" customFormat="1" hidden="1" outlineLevel="1" x14ac:dyDescent="0.25">
      <c r="A37" s="35"/>
      <c r="B37" s="10" t="str">
        <f>CONCATENATE("          ","6156", " - ","EMPLOYEE MEALS")</f>
        <v xml:space="preserve">          6156 - EMPLOYEE MEALS</v>
      </c>
      <c r="C37" s="11"/>
      <c r="D37" s="2">
        <v>5.98</v>
      </c>
      <c r="E37" s="2">
        <v>344.73</v>
      </c>
      <c r="F37" s="2">
        <v>290.47000000000003</v>
      </c>
      <c r="G37" s="2">
        <v>85.19</v>
      </c>
      <c r="H37" s="2"/>
      <c r="I37" s="2"/>
      <c r="J37" s="2"/>
      <c r="K37" s="2"/>
      <c r="L37" s="2"/>
      <c r="M37" s="2"/>
      <c r="N37" s="2">
        <v>175</v>
      </c>
      <c r="O37" s="2">
        <v>175</v>
      </c>
      <c r="P37" s="9"/>
      <c r="Q37" s="2">
        <f>SUM(OSRRefD21_0_8x)+IFERROR(SUM(OSRRefE21_0_8x),0)</f>
        <v>1076.3700000000001</v>
      </c>
    </row>
    <row r="38" spans="1:17" s="34" customFormat="1" collapsed="1" x14ac:dyDescent="0.25">
      <c r="A38" s="35"/>
      <c r="B38" s="11" t="str">
        <f>CONCATENATE("     ","*Payroll                                          ")</f>
        <v xml:space="preserve">     *Payroll                                          </v>
      </c>
      <c r="C38" s="11"/>
      <c r="D38" s="1">
        <f>SUM(OSRRefD21_1x_0)</f>
        <v>11477.03</v>
      </c>
      <c r="E38" s="1">
        <f>SUM(OSRRefD21_1x_1)</f>
        <v>10173.66</v>
      </c>
      <c r="F38" s="1">
        <f>SUM(OSRRefD21_1x_2)</f>
        <v>10821.800000000001</v>
      </c>
      <c r="G38" s="1">
        <f>SUM(OSRRefD21_1x_3)</f>
        <v>5318.8899999999994</v>
      </c>
      <c r="H38" s="1">
        <f>SUM(OSRRefD21_1x_4)</f>
        <v>4169</v>
      </c>
      <c r="I38" s="1">
        <f>SUM(OSRRefD21_1x_5)</f>
        <v>0</v>
      </c>
      <c r="J38" s="1">
        <f>SUM(OSRRefD21_1x_6)</f>
        <v>0</v>
      </c>
      <c r="K38" s="1">
        <f>SUM(OSRRefD21_1x_7)</f>
        <v>0</v>
      </c>
      <c r="L38" s="1">
        <f>SUM(OSRRefD21_1x_8)</f>
        <v>0</v>
      </c>
      <c r="M38" s="1">
        <f>SUM(OSRRefD21_1x_9)</f>
        <v>0</v>
      </c>
      <c r="N38" s="1">
        <f>SUM(OSRRefE21_1x_0)</f>
        <v>4043.52</v>
      </c>
      <c r="O38" s="1">
        <f>SUM(OSRRefE21_1x_1)</f>
        <v>4043.52</v>
      </c>
      <c r="Q38" s="2">
        <f>SUM(OSRRefD20_1x)+IFERROR(SUM(OSRRefE20_1x),0)</f>
        <v>50047.420000000006</v>
      </c>
    </row>
    <row r="39" spans="1:17" s="34" customFormat="1" hidden="1" outlineLevel="1" x14ac:dyDescent="0.25">
      <c r="A39" s="35"/>
      <c r="B39" s="10" t="str">
        <f>CONCATENATE("          ","6001", " - ","ADMINISTRATIVE SALARIES")</f>
        <v xml:space="preserve">          6001 - ADMINISTRATIVE SALARIES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4" customFormat="1" hidden="1" outlineLevel="1" x14ac:dyDescent="0.25">
      <c r="A40" s="35"/>
      <c r="B40" s="10" t="str">
        <f>CONCATENATE("          ","6002", " - ","STAFF SALARIES")</f>
        <v xml:space="preserve">          6002 - STAFF SALARIES</v>
      </c>
      <c r="C40" s="11"/>
      <c r="D40" s="2">
        <v>11477.03</v>
      </c>
      <c r="E40" s="2">
        <v>9518.66</v>
      </c>
      <c r="F40" s="2">
        <v>9344.7000000000007</v>
      </c>
      <c r="G40" s="2">
        <v>5319.03</v>
      </c>
      <c r="H40" s="2">
        <v>4169</v>
      </c>
      <c r="I40" s="2"/>
      <c r="J40" s="2"/>
      <c r="K40" s="2"/>
      <c r="L40" s="2"/>
      <c r="M40" s="2"/>
      <c r="N40" s="2">
        <v>4043.52</v>
      </c>
      <c r="O40" s="2">
        <v>4043.52</v>
      </c>
      <c r="P40" s="9"/>
      <c r="Q40" s="2">
        <f>SUM(OSRRefD21_1_1x)+IFERROR(SUM(OSRRefE21_1_1x),0)</f>
        <v>47915.460000000006</v>
      </c>
    </row>
    <row r="41" spans="1:17" s="34" customFormat="1" hidden="1" outlineLevel="1" x14ac:dyDescent="0.25">
      <c r="A41" s="35"/>
      <c r="B41" s="10" t="str">
        <f>CONCATENATE("          ","6003", " - ","STAFF HOURLY-9 MONTH")</f>
        <v xml:space="preserve">          6003 - STAFF HOURLY-9 MONTH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25">
      <c r="A42" s="35"/>
      <c r="B42" s="10" t="str">
        <f>CONCATENATE("          ","6004", " - ","STAFF HOURLY")</f>
        <v xml:space="preserve">          6004 - STAFF HOURLY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4" customFormat="1" hidden="1" outlineLevel="1" x14ac:dyDescent="0.25">
      <c r="A43" s="35"/>
      <c r="B43" s="10" t="str">
        <f>CONCATENATE("          ","6005", " - ","TEMPORARY WAGES-HOURLY")</f>
        <v xml:space="preserve">          6005 - TEMPORARY WAGES-HOURLY</v>
      </c>
      <c r="C43" s="11"/>
      <c r="D43" s="2"/>
      <c r="E43" s="2"/>
      <c r="F43" s="2">
        <v>1784.1</v>
      </c>
      <c r="G43" s="2">
        <v>347.86</v>
      </c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SUM(OSRRefD21_1_4x)+IFERROR(SUM(OSRRefE21_1_4x),0)</f>
        <v>2131.96</v>
      </c>
    </row>
    <row r="44" spans="1:17" s="34" customFormat="1" hidden="1" outlineLevel="1" x14ac:dyDescent="0.25">
      <c r="A44" s="35"/>
      <c r="B44" s="10" t="str">
        <f>CONCATENATE("          ","6006", " - ","TEMPORARY PART TIME")</f>
        <v xml:space="preserve">          6006 - TEMPORARY PART TIME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25">
      <c r="A45" s="35"/>
      <c r="B45" s="10" t="str">
        <f>CONCATENATE("          ","6007", " - ","STUDENT HOURLY")</f>
        <v xml:space="preserve">          6007 - STUDENT HOURLY</v>
      </c>
      <c r="C45" s="11"/>
      <c r="D45" s="2"/>
      <c r="E45" s="2">
        <v>655</v>
      </c>
      <c r="F45" s="2">
        <v>-307</v>
      </c>
      <c r="G45" s="2">
        <v>-348</v>
      </c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SUM(OSRRefD21_1_6x)+IFERROR(SUM(OSRRefE21_1_6x),0)</f>
        <v>0</v>
      </c>
    </row>
    <row r="46" spans="1:17" s="34" customFormat="1" hidden="1" outlineLevel="1" x14ac:dyDescent="0.25">
      <c r="A46" s="35"/>
      <c r="B46" s="10" t="str">
        <f>CONCATENATE("          ","6008", " - ","STUDENT HOURLY-FICA EXEMPT")</f>
        <v xml:space="preserve">          6008 - STUDENT HOURLY-FICA EXEMPT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4" customFormat="1" hidden="1" outlineLevel="1" x14ac:dyDescent="0.25">
      <c r="A47" s="35"/>
      <c r="B47" s="10" t="str">
        <f>CONCATENATE("          ","6009", " - ","TEMPORARY-SEASONAL")</f>
        <v xml:space="preserve">          6009 - TEMPORARY-SEASONAL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25">
      <c r="A48" s="35"/>
      <c r="B48" s="10" t="str">
        <f>CONCATENATE("          ","6010", " - ","GRATUITY")</f>
        <v xml:space="preserve">          6010 - GRATUITY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25">
      <c r="A49" s="35"/>
      <c r="B49" s="11" t="str">
        <f>CONCATENATE("     ","Advertising/Promo                                 ")</f>
        <v xml:space="preserve">     Advertising/Promo                                 </v>
      </c>
      <c r="C49" s="11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SUM(OSRRefD21_2x_4)</f>
        <v>0</v>
      </c>
      <c r="I49" s="1">
        <f>SUM(OSRRefD21_2x_5)</f>
        <v>0</v>
      </c>
      <c r="J49" s="1">
        <f>SUM(OSRRefD21_2x_6)</f>
        <v>0</v>
      </c>
      <c r="K49" s="1">
        <f>SUM(OSRRefD21_2x_7)</f>
        <v>0</v>
      </c>
      <c r="L49" s="1">
        <f>SUM(OSRRefD21_2x_8)</f>
        <v>0</v>
      </c>
      <c r="M49" s="1">
        <f>SUM(OSRRefD21_2x_9)</f>
        <v>0</v>
      </c>
      <c r="N49" s="1">
        <f>SUM(OSRRefE21_2x_0)</f>
        <v>0</v>
      </c>
      <c r="O49" s="1">
        <f>SUM(OSRRefE21_2x_1)</f>
        <v>0</v>
      </c>
      <c r="Q49" s="2">
        <f>SUM(OSRRefD20_2x)+IFERROR(SUM(OSRRefE20_2x),0)</f>
        <v>0</v>
      </c>
    </row>
    <row r="50" spans="1:17" s="34" customFormat="1" hidden="1" outlineLevel="1" x14ac:dyDescent="0.25">
      <c r="A50" s="35"/>
      <c r="B50" s="10" t="str">
        <f>CONCATENATE("          ","6362", " - ","ADVERTISING EXPENSE")</f>
        <v xml:space="preserve">          6362 - ADVERTISING EXPENSE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SUM(OSRRefD21_2_0x)+IFERROR(SUM(OSRRefE21_2_0x),0)</f>
        <v>0</v>
      </c>
    </row>
    <row r="51" spans="1:17" s="34" customFormat="1" collapsed="1" x14ac:dyDescent="0.25">
      <c r="A51" s="35"/>
      <c r="B51" s="11" t="str">
        <f>CONCATENATE("     ","Bad Debts/Over/Short                              ")</f>
        <v xml:space="preserve">     Bad Debts/Over/Short                              </v>
      </c>
      <c r="C51" s="11"/>
      <c r="D51" s="1">
        <f>SUM(OSRRefD21_3x_0)</f>
        <v>0</v>
      </c>
      <c r="E51" s="1">
        <f>SUM(OSRRefD21_3x_1)</f>
        <v>3.75</v>
      </c>
      <c r="F51" s="1">
        <f>SUM(OSRRefD21_3x_2)</f>
        <v>-0.44</v>
      </c>
      <c r="G51" s="1">
        <f>SUM(OSRRefD21_3x_3)</f>
        <v>0</v>
      </c>
      <c r="H51" s="1">
        <f>SUM(OSRRefD21_3x_4)</f>
        <v>0</v>
      </c>
      <c r="I51" s="1">
        <f>SUM(OSRRefD21_3x_5)</f>
        <v>0</v>
      </c>
      <c r="J51" s="1">
        <f>SUM(OSRRefD21_3x_6)</f>
        <v>0</v>
      </c>
      <c r="K51" s="1">
        <f>SUM(OSRRefD21_3x_7)</f>
        <v>0</v>
      </c>
      <c r="L51" s="1">
        <f>SUM(OSRRefD21_3x_8)</f>
        <v>0</v>
      </c>
      <c r="M51" s="1">
        <f>SUM(OSRRefD21_3x_9)</f>
        <v>0</v>
      </c>
      <c r="N51" s="1">
        <f>SUM(OSRRefE21_3x_0)</f>
        <v>5</v>
      </c>
      <c r="O51" s="1">
        <f>SUM(OSRRefE21_3x_1)</f>
        <v>5</v>
      </c>
      <c r="Q51" s="2">
        <f>SUM(OSRRefD20_3x)+IFERROR(SUM(OSRRefE20_3x),0)</f>
        <v>13.31</v>
      </c>
    </row>
    <row r="52" spans="1:17" s="34" customFormat="1" hidden="1" outlineLevel="1" x14ac:dyDescent="0.25">
      <c r="A52" s="35"/>
      <c r="B52" s="10" t="str">
        <f>CONCATENATE("          ","6272", " - ","CASH (OVER/SHORT)")</f>
        <v xml:space="preserve">          6272 - CASH (OVER/SHORT)</v>
      </c>
      <c r="C52" s="11"/>
      <c r="D52" s="2"/>
      <c r="E52" s="2">
        <v>3.75</v>
      </c>
      <c r="F52" s="2">
        <v>-0.44</v>
      </c>
      <c r="G52" s="2">
        <v>0</v>
      </c>
      <c r="H52" s="2"/>
      <c r="I52" s="2"/>
      <c r="J52" s="2"/>
      <c r="K52" s="2"/>
      <c r="L52" s="2"/>
      <c r="M52" s="2"/>
      <c r="N52" s="2">
        <v>5</v>
      </c>
      <c r="O52" s="2">
        <v>5</v>
      </c>
      <c r="P52" s="9"/>
      <c r="Q52" s="2">
        <f>SUM(OSRRefD21_3_0x)+IFERROR(SUM(OSRRefE21_3_0x),0)</f>
        <v>13.31</v>
      </c>
    </row>
    <row r="53" spans="1:17" s="34" customFormat="1" collapsed="1" x14ac:dyDescent="0.25">
      <c r="A53" s="35"/>
      <c r="B53" s="11" t="str">
        <f>CONCATENATE("     ","Bank/card Fees                                    ")</f>
        <v xml:space="preserve">     Bank/card Fees                                    </v>
      </c>
      <c r="C53" s="11"/>
      <c r="D53" s="1">
        <f>SUM(OSRRefD21_4x_0)</f>
        <v>60</v>
      </c>
      <c r="E53" s="1">
        <f>SUM(OSRRefD21_4x_1)</f>
        <v>60</v>
      </c>
      <c r="F53" s="1">
        <f>SUM(OSRRefD21_4x_2)</f>
        <v>110.18</v>
      </c>
      <c r="G53" s="1">
        <f>SUM(OSRRefD21_4x_3)</f>
        <v>204.06</v>
      </c>
      <c r="H53" s="1">
        <f>SUM(OSRRefD21_4x_4)</f>
        <v>205.09</v>
      </c>
      <c r="I53" s="1">
        <f>SUM(OSRRefD21_4x_5)</f>
        <v>274</v>
      </c>
      <c r="J53" s="1">
        <f>SUM(OSRRefD21_4x_6)</f>
        <v>224.95</v>
      </c>
      <c r="K53" s="1">
        <f>SUM(OSRRefD21_4x_7)</f>
        <v>224.95</v>
      </c>
      <c r="L53" s="1">
        <f>SUM(OSRRefD21_4x_8)</f>
        <v>224.95</v>
      </c>
      <c r="M53" s="1">
        <f>SUM(OSRRefD21_4x_9)</f>
        <v>736.54</v>
      </c>
      <c r="N53" s="1">
        <f>SUM(OSRRefE21_4x_0)</f>
        <v>63</v>
      </c>
      <c r="O53" s="1">
        <f>SUM(OSRRefE21_4x_1)</f>
        <v>13</v>
      </c>
      <c r="Q53" s="2">
        <f>SUM(OSRRefD20_4x)+IFERROR(SUM(OSRRefE20_4x),0)</f>
        <v>2400.7200000000003</v>
      </c>
    </row>
    <row r="54" spans="1:17" s="34" customFormat="1" hidden="1" outlineLevel="1" x14ac:dyDescent="0.25">
      <c r="A54" s="35"/>
      <c r="B54" s="10" t="str">
        <f>CONCATENATE("          ","6381", " - ","BANK/CREDIT CARD FEES")</f>
        <v xml:space="preserve">          6381 - BANK/CREDIT CARD FEES</v>
      </c>
      <c r="C54" s="11"/>
      <c r="D54" s="2">
        <v>60</v>
      </c>
      <c r="E54" s="2">
        <v>60</v>
      </c>
      <c r="F54" s="2">
        <v>110.18</v>
      </c>
      <c r="G54" s="2">
        <v>204.06</v>
      </c>
      <c r="H54" s="2">
        <v>205.09</v>
      </c>
      <c r="I54" s="2">
        <v>274</v>
      </c>
      <c r="J54" s="2">
        <v>224.95</v>
      </c>
      <c r="K54" s="2">
        <v>224.95</v>
      </c>
      <c r="L54" s="2">
        <v>224.95</v>
      </c>
      <c r="M54" s="2">
        <v>736.54</v>
      </c>
      <c r="N54" s="2">
        <v>63</v>
      </c>
      <c r="O54" s="2">
        <v>13</v>
      </c>
      <c r="P54" s="9"/>
      <c r="Q54" s="2">
        <f>SUM(OSRRefD21_4_0x)+IFERROR(SUM(OSRRefE21_4_0x),0)</f>
        <v>2400.7200000000003</v>
      </c>
    </row>
    <row r="55" spans="1:17" s="34" customFormat="1" collapsed="1" x14ac:dyDescent="0.25">
      <c r="A55" s="35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SUM(OSRRefD21_5x_0)</f>
        <v>8990.73</v>
      </c>
      <c r="E55" s="1">
        <f>SUM(OSRRefD21_5x_1)</f>
        <v>9271.99</v>
      </c>
      <c r="F55" s="1">
        <f>SUM(OSRRefD21_5x_2)</f>
        <v>9263.4700000000012</v>
      </c>
      <c r="G55" s="1">
        <f>SUM(OSRRefD21_5x_3)</f>
        <v>9263.4500000000007</v>
      </c>
      <c r="H55" s="1">
        <f>SUM(OSRRefD21_5x_4)</f>
        <v>9152.09</v>
      </c>
      <c r="I55" s="1">
        <f>SUM(OSRRefD21_5x_5)</f>
        <v>9152.09</v>
      </c>
      <c r="J55" s="1">
        <f>SUM(OSRRefD21_5x_6)</f>
        <v>9152.09</v>
      </c>
      <c r="K55" s="1">
        <f>SUM(OSRRefD21_5x_7)</f>
        <v>9152.09</v>
      </c>
      <c r="L55" s="1">
        <f>SUM(OSRRefD21_5x_8)</f>
        <v>9152.09</v>
      </c>
      <c r="M55" s="1">
        <f>SUM(OSRRefD21_5x_9)</f>
        <v>9152.09</v>
      </c>
      <c r="N55" s="1">
        <f>SUM(OSRRefE21_5x_0)</f>
        <v>8563</v>
      </c>
      <c r="O55" s="1">
        <f>SUM(OSRRefE21_5x_1)</f>
        <v>8563</v>
      </c>
      <c r="Q55" s="2">
        <f>SUM(OSRRefD20_5x)+IFERROR(SUM(OSRRefE20_5x),0)</f>
        <v>108828.17999999998</v>
      </c>
    </row>
    <row r="56" spans="1:17" s="34" customFormat="1" hidden="1" outlineLevel="1" x14ac:dyDescent="0.25">
      <c r="A56" s="35"/>
      <c r="B56" s="10" t="str">
        <f>CONCATENATE("          ","6321", " - ","BUILDING DEPRECIATION")</f>
        <v xml:space="preserve">          6321 - BUILDING DEPRECIATION</v>
      </c>
      <c r="C56" s="11"/>
      <c r="D56" s="2">
        <v>5080.51</v>
      </c>
      <c r="E56" s="2">
        <v>5080.51</v>
      </c>
      <c r="F56" s="2">
        <v>5080.51</v>
      </c>
      <c r="G56" s="2">
        <v>5080.51</v>
      </c>
      <c r="H56" s="2">
        <v>5080.51</v>
      </c>
      <c r="I56" s="2">
        <v>5080.51</v>
      </c>
      <c r="J56" s="2">
        <v>5080.51</v>
      </c>
      <c r="K56" s="2">
        <v>5080.51</v>
      </c>
      <c r="L56" s="2">
        <v>5080.51</v>
      </c>
      <c r="M56" s="2">
        <v>5080.51</v>
      </c>
      <c r="N56" s="2"/>
      <c r="O56" s="2"/>
      <c r="P56" s="9"/>
      <c r="Q56" s="2">
        <f>SUM(OSRRefD21_5_0x)+IFERROR(SUM(OSRRefE21_5_0x),0)</f>
        <v>50805.100000000013</v>
      </c>
    </row>
    <row r="57" spans="1:17" s="34" customFormat="1" hidden="1" outlineLevel="1" x14ac:dyDescent="0.25">
      <c r="A57" s="35"/>
      <c r="B57" s="10" t="str">
        <f>CONCATENATE("          ","6322", " - ","EQUIPMENT DEPRECIATION EXPENSE")</f>
        <v xml:space="preserve">          6322 - EQUIPMENT DEPRECIATION EXPENSE</v>
      </c>
      <c r="C57" s="11"/>
      <c r="D57" s="2">
        <v>3910.22</v>
      </c>
      <c r="E57" s="2">
        <v>4191.4799999999996</v>
      </c>
      <c r="F57" s="2">
        <v>4182.96</v>
      </c>
      <c r="G57" s="2">
        <v>4182.9399999999996</v>
      </c>
      <c r="H57" s="2">
        <v>4071.58</v>
      </c>
      <c r="I57" s="2">
        <v>4071.58</v>
      </c>
      <c r="J57" s="2">
        <v>4071.58</v>
      </c>
      <c r="K57" s="2">
        <v>4071.58</v>
      </c>
      <c r="L57" s="2">
        <v>4071.58</v>
      </c>
      <c r="M57" s="2">
        <v>4071.58</v>
      </c>
      <c r="N57" s="2">
        <v>8563</v>
      </c>
      <c r="O57" s="2">
        <v>8563</v>
      </c>
      <c r="P57" s="9"/>
      <c r="Q57" s="2">
        <f>SUM(OSRRefD21_5_1x)+IFERROR(SUM(OSRRefE21_5_1x),0)</f>
        <v>58023.080000000009</v>
      </c>
    </row>
    <row r="58" spans="1:17" s="34" customFormat="1" collapsed="1" x14ac:dyDescent="0.25">
      <c r="A58" s="35"/>
      <c r="B58" s="11" t="str">
        <f>CONCATENATE("     ","Equipment Rental                                  ")</f>
        <v xml:space="preserve">     Equipment Rental                                  </v>
      </c>
      <c r="C58" s="11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88.15</v>
      </c>
      <c r="J58" s="1">
        <f>SUM(OSRRefD21_6x_6)</f>
        <v>176.4</v>
      </c>
      <c r="K58" s="1">
        <f>SUM(OSRRefD21_6x_7)</f>
        <v>176.4</v>
      </c>
      <c r="L58" s="1">
        <f>SUM(OSRRefD21_6x_8)</f>
        <v>0</v>
      </c>
      <c r="M58" s="1">
        <f>SUM(OSRRefD21_6x_9)</f>
        <v>176.4</v>
      </c>
      <c r="N58" s="1">
        <f>SUM(OSRRefE21_6x_0)</f>
        <v>146</v>
      </c>
      <c r="O58" s="1">
        <f>SUM(OSRRefE21_6x_1)</f>
        <v>146</v>
      </c>
      <c r="Q58" s="2">
        <f>SUM(OSRRefD20_6x)+IFERROR(SUM(OSRRefE20_6x),0)</f>
        <v>909.35</v>
      </c>
    </row>
    <row r="59" spans="1:17" s="34" customFormat="1" hidden="1" outlineLevel="1" x14ac:dyDescent="0.25">
      <c r="A59" s="35"/>
      <c r="B59" s="10" t="str">
        <f>CONCATENATE("          ","6351", " - ","EQUIPMENT RENTAL")</f>
        <v xml:space="preserve">          6351 - EQUIPMENT RENTAL</v>
      </c>
      <c r="C59" s="11"/>
      <c r="D59" s="2"/>
      <c r="E59" s="2"/>
      <c r="F59" s="2"/>
      <c r="G59" s="2"/>
      <c r="H59" s="2"/>
      <c r="I59" s="2">
        <v>88.15</v>
      </c>
      <c r="J59" s="2">
        <v>176.4</v>
      </c>
      <c r="K59" s="2">
        <v>176.4</v>
      </c>
      <c r="L59" s="2"/>
      <c r="M59" s="2">
        <v>176.4</v>
      </c>
      <c r="N59" s="2">
        <v>146</v>
      </c>
      <c r="O59" s="2">
        <v>146</v>
      </c>
      <c r="P59" s="9"/>
      <c r="Q59" s="2">
        <f>SUM(OSRRefD21_6_0x)+IFERROR(SUM(OSRRefE21_6_0x),0)</f>
        <v>909.35</v>
      </c>
    </row>
    <row r="60" spans="1:17" s="34" customFormat="1" collapsed="1" x14ac:dyDescent="0.25">
      <c r="A60" s="35"/>
      <c r="B60" s="11" t="str">
        <f>CONCATENATE("     ","Freight out/Postage                               ")</f>
        <v xml:space="preserve">     Freight out/Postage                               </v>
      </c>
      <c r="C60" s="11"/>
      <c r="D60" s="1">
        <f>SUM(OSRRefD21_7x_0)</f>
        <v>0</v>
      </c>
      <c r="E60" s="1">
        <f>SUM(OSRRefD21_7x_1)</f>
        <v>3.94</v>
      </c>
      <c r="F60" s="1">
        <f>SUM(OSRRefD21_7x_2)</f>
        <v>6.06</v>
      </c>
      <c r="G60" s="1">
        <f>SUM(OSRRefD21_7x_3)</f>
        <v>85.43</v>
      </c>
      <c r="H60" s="1">
        <f>SUM(OSRRefD21_7x_4)</f>
        <v>9.9</v>
      </c>
      <c r="I60" s="1">
        <f>SUM(OSRRefD21_7x_5)</f>
        <v>3.93</v>
      </c>
      <c r="J60" s="1">
        <f>SUM(OSRRefD21_7x_6)</f>
        <v>8.17</v>
      </c>
      <c r="K60" s="1">
        <f>SUM(OSRRefD21_7x_7)</f>
        <v>90.46</v>
      </c>
      <c r="L60" s="1">
        <f>SUM(OSRRefD21_7x_8)</f>
        <v>41.93</v>
      </c>
      <c r="M60" s="1">
        <f>SUM(OSRRefD21_7x_9)</f>
        <v>30.28</v>
      </c>
      <c r="N60" s="1">
        <f>SUM(OSRRefE21_7x_0)</f>
        <v>0</v>
      </c>
      <c r="O60" s="1">
        <f>SUM(OSRRefE21_7x_1)</f>
        <v>0</v>
      </c>
      <c r="Q60" s="2">
        <f>SUM(OSRRefD20_7x)+IFERROR(SUM(OSRRefE20_7x),0)</f>
        <v>280.10000000000002</v>
      </c>
    </row>
    <row r="61" spans="1:17" s="34" customFormat="1" hidden="1" outlineLevel="1" x14ac:dyDescent="0.25">
      <c r="A61" s="35"/>
      <c r="B61" s="10" t="str">
        <f>CONCATENATE("          ","6305", " - ","FREIGHT OUT")</f>
        <v xml:space="preserve">          6305 - FREIGHT OUT</v>
      </c>
      <c r="C61" s="11"/>
      <c r="D61" s="2"/>
      <c r="E61" s="2">
        <v>3.94</v>
      </c>
      <c r="F61" s="2">
        <v>6.06</v>
      </c>
      <c r="G61" s="2">
        <v>85.43</v>
      </c>
      <c r="H61" s="2">
        <v>9.9</v>
      </c>
      <c r="I61" s="2">
        <v>3.93</v>
      </c>
      <c r="J61" s="2">
        <v>8.17</v>
      </c>
      <c r="K61" s="2">
        <v>90.46</v>
      </c>
      <c r="L61" s="2">
        <v>41.93</v>
      </c>
      <c r="M61" s="2">
        <v>30.28</v>
      </c>
      <c r="N61" s="2"/>
      <c r="O61" s="2"/>
      <c r="P61" s="9"/>
      <c r="Q61" s="2">
        <f>SUM(OSRRefD21_7_0x)+IFERROR(SUM(OSRRefE21_7_0x),0)</f>
        <v>280.10000000000002</v>
      </c>
    </row>
    <row r="62" spans="1:17" s="34" customFormat="1" collapsed="1" x14ac:dyDescent="0.25">
      <c r="A62" s="35"/>
      <c r="B62" s="11" t="str">
        <f>CONCATENATE("     ","General                                           ")</f>
        <v xml:space="preserve">     General                                           </v>
      </c>
      <c r="C62" s="11"/>
      <c r="D62" s="1">
        <f>SUM(OSRRefD21_8x_0)</f>
        <v>1509.1</v>
      </c>
      <c r="E62" s="1">
        <f>SUM(OSRRefD21_8x_1)</f>
        <v>0</v>
      </c>
      <c r="F62" s="1">
        <f>SUM(OSRRefD21_8x_2)</f>
        <v>0</v>
      </c>
      <c r="G62" s="1">
        <f>SUM(OSRRefD21_8x_3)</f>
        <v>0</v>
      </c>
      <c r="H62" s="1">
        <f>SUM(OSRRefD21_8x_4)</f>
        <v>415</v>
      </c>
      <c r="I62" s="1">
        <f>SUM(OSRRefD21_8x_5)</f>
        <v>1286.3800000000001</v>
      </c>
      <c r="J62" s="1">
        <f>SUM(OSRRefD21_8x_6)</f>
        <v>-421.99</v>
      </c>
      <c r="K62" s="1">
        <f>SUM(OSRRefD21_8x_7)</f>
        <v>0</v>
      </c>
      <c r="L62" s="1">
        <f>SUM(OSRRefD21_8x_8)</f>
        <v>646.37</v>
      </c>
      <c r="M62" s="1">
        <f>SUM(OSRRefD21_8x_9)</f>
        <v>120</v>
      </c>
      <c r="N62" s="1">
        <f>SUM(OSRRefE21_8x_0)</f>
        <v>0</v>
      </c>
      <c r="O62" s="1">
        <f>SUM(OSRRefE21_8x_1)</f>
        <v>0</v>
      </c>
      <c r="Q62" s="2">
        <f>SUM(OSRRefD20_8x)+IFERROR(SUM(OSRRefE20_8x),0)</f>
        <v>3554.8599999999997</v>
      </c>
    </row>
    <row r="63" spans="1:17" s="34" customFormat="1" hidden="1" outlineLevel="1" x14ac:dyDescent="0.25">
      <c r="A63" s="35"/>
      <c r="B63" s="10" t="str">
        <f>CONCATENATE("          ","6279", " - ","GENERAL EXPENSE")</f>
        <v xml:space="preserve">          6279 - GENERAL EXPENSE</v>
      </c>
      <c r="C63" s="11"/>
      <c r="D63" s="2">
        <v>1509.1</v>
      </c>
      <c r="E63" s="2"/>
      <c r="F63" s="2"/>
      <c r="G63" s="2">
        <v>0</v>
      </c>
      <c r="H63" s="2">
        <v>415</v>
      </c>
      <c r="I63" s="2">
        <v>1286.3800000000001</v>
      </c>
      <c r="J63" s="2">
        <v>-421.99</v>
      </c>
      <c r="K63" s="2"/>
      <c r="L63" s="2">
        <v>646.37</v>
      </c>
      <c r="M63" s="2">
        <v>120</v>
      </c>
      <c r="N63" s="2"/>
      <c r="O63" s="2"/>
      <c r="P63" s="9"/>
      <c r="Q63" s="2">
        <f>SUM(OSRRefD21_8_0x)+IFERROR(SUM(OSRRefE21_8_0x),0)</f>
        <v>3554.8599999999997</v>
      </c>
    </row>
    <row r="64" spans="1:17" s="34" customFormat="1" collapsed="1" x14ac:dyDescent="0.25">
      <c r="A64" s="35"/>
      <c r="B64" s="11" t="str">
        <f>CONCATENATE("     ","Insurance                                         ")</f>
        <v xml:space="preserve">     Insurance                                         </v>
      </c>
      <c r="C64" s="11"/>
      <c r="D64" s="1">
        <f>SUM(OSRRefD21_9x_0)</f>
        <v>243.54</v>
      </c>
      <c r="E64" s="1">
        <f>SUM(OSRRefD21_9x_1)</f>
        <v>243.54</v>
      </c>
      <c r="F64" s="1">
        <f>SUM(OSRRefD21_9x_2)</f>
        <v>243.54</v>
      </c>
      <c r="G64" s="1">
        <f>SUM(OSRRefD21_9x_3)</f>
        <v>243.54</v>
      </c>
      <c r="H64" s="1">
        <f>SUM(OSRRefD21_9x_4)</f>
        <v>243.54</v>
      </c>
      <c r="I64" s="1">
        <f>SUM(OSRRefD21_9x_5)</f>
        <v>243.54</v>
      </c>
      <c r="J64" s="1">
        <f>SUM(OSRRefD21_9x_6)</f>
        <v>243.54</v>
      </c>
      <c r="K64" s="1">
        <f>SUM(OSRRefD21_9x_7)</f>
        <v>243.54</v>
      </c>
      <c r="L64" s="1">
        <f>SUM(OSRRefD21_9x_8)</f>
        <v>243.54</v>
      </c>
      <c r="M64" s="1">
        <f>SUM(OSRRefD21_9x_9)</f>
        <v>243.54</v>
      </c>
      <c r="N64" s="1">
        <f>SUM(OSRRefE21_9x_0)</f>
        <v>270</v>
      </c>
      <c r="O64" s="1">
        <f>SUM(OSRRefE21_9x_1)</f>
        <v>270</v>
      </c>
      <c r="Q64" s="2">
        <f>SUM(OSRRefD20_9x)+IFERROR(SUM(OSRRefE20_9x),0)</f>
        <v>2975.4</v>
      </c>
    </row>
    <row r="65" spans="1:17" s="34" customFormat="1" hidden="1" outlineLevel="1" x14ac:dyDescent="0.25">
      <c r="A65" s="35"/>
      <c r="B65" s="10" t="str">
        <f>CONCATENATE("          ","6314", " - ","LIABILITY INSURANCE")</f>
        <v xml:space="preserve">          6314 - LIABILITY INSURANCE</v>
      </c>
      <c r="C65" s="11"/>
      <c r="D65" s="2">
        <v>243.54</v>
      </c>
      <c r="E65" s="2">
        <v>243.54</v>
      </c>
      <c r="F65" s="2">
        <v>243.54</v>
      </c>
      <c r="G65" s="2">
        <v>243.54</v>
      </c>
      <c r="H65" s="2">
        <v>243.54</v>
      </c>
      <c r="I65" s="2">
        <v>243.54</v>
      </c>
      <c r="J65" s="2">
        <v>243.54</v>
      </c>
      <c r="K65" s="2">
        <v>243.54</v>
      </c>
      <c r="L65" s="2">
        <v>243.54</v>
      </c>
      <c r="M65" s="2">
        <v>243.54</v>
      </c>
      <c r="N65" s="2">
        <v>270</v>
      </c>
      <c r="O65" s="2">
        <v>270</v>
      </c>
      <c r="P65" s="9"/>
      <c r="Q65" s="2">
        <f>SUM(OSRRefD21_9_0x)+IFERROR(SUM(OSRRefE21_9_0x),0)</f>
        <v>2975.4</v>
      </c>
    </row>
    <row r="66" spans="1:17" s="34" customFormat="1" collapsed="1" x14ac:dyDescent="0.25">
      <c r="A66" s="35"/>
      <c r="B66" s="11" t="str">
        <f>CONCATENATE("     ","Interest                                          ")</f>
        <v xml:space="preserve">     Interest                                          </v>
      </c>
      <c r="C66" s="11"/>
      <c r="D66" s="1">
        <f>SUM(OSRRefD21_10x_0)</f>
        <v>4044</v>
      </c>
      <c r="E66" s="1">
        <f>SUM(OSRRefD21_10x_1)</f>
        <v>4044</v>
      </c>
      <c r="F66" s="1">
        <f>SUM(OSRRefD21_10x_2)</f>
        <v>4044</v>
      </c>
      <c r="G66" s="1">
        <f>SUM(OSRRefD21_10x_3)</f>
        <v>3781.85</v>
      </c>
      <c r="H66" s="1">
        <f>SUM(OSRRefD21_10x_4)</f>
        <v>4044</v>
      </c>
      <c r="I66" s="1">
        <f>SUM(OSRRefD21_10x_5)</f>
        <v>4044</v>
      </c>
      <c r="J66" s="1">
        <f>SUM(OSRRefD21_10x_6)</f>
        <v>4044</v>
      </c>
      <c r="K66" s="1">
        <f>SUM(OSRRefD21_10x_7)</f>
        <v>4044</v>
      </c>
      <c r="L66" s="1">
        <f>SUM(OSRRefD21_10x_8)</f>
        <v>4044</v>
      </c>
      <c r="M66" s="1">
        <f>SUM(OSRRefD21_10x_9)</f>
        <v>3213</v>
      </c>
      <c r="N66" s="1">
        <f>SUM(OSRRefE21_10x_0)</f>
        <v>3905</v>
      </c>
      <c r="O66" s="1">
        <f>SUM(OSRRefE21_10x_1)</f>
        <v>3905</v>
      </c>
      <c r="Q66" s="2">
        <f>SUM(OSRRefD20_10x)+IFERROR(SUM(OSRRefE20_10x),0)</f>
        <v>47156.85</v>
      </c>
    </row>
    <row r="67" spans="1:17" s="34" customFormat="1" hidden="1" outlineLevel="1" x14ac:dyDescent="0.25">
      <c r="A67" s="35"/>
      <c r="B67" s="10" t="str">
        <f>CONCATENATE("          ","6401", " - ","INTEREST EXPENSE")</f>
        <v xml:space="preserve">          6401 - INTEREST EXPENSE</v>
      </c>
      <c r="C67" s="11"/>
      <c r="D67" s="2">
        <v>4044</v>
      </c>
      <c r="E67" s="2">
        <v>4044</v>
      </c>
      <c r="F67" s="2">
        <v>4044</v>
      </c>
      <c r="G67" s="2">
        <v>3781.85</v>
      </c>
      <c r="H67" s="2">
        <v>4044</v>
      </c>
      <c r="I67" s="2">
        <v>4044</v>
      </c>
      <c r="J67" s="2">
        <v>4044</v>
      </c>
      <c r="K67" s="2">
        <v>4044</v>
      </c>
      <c r="L67" s="2">
        <v>4044</v>
      </c>
      <c r="M67" s="2">
        <v>3213</v>
      </c>
      <c r="N67" s="2">
        <v>3905</v>
      </c>
      <c r="O67" s="2">
        <v>3905</v>
      </c>
      <c r="P67" s="9"/>
      <c r="Q67" s="2">
        <f>SUM(OSRRefD21_10_0x)+IFERROR(SUM(OSRRefE21_10_0x),0)</f>
        <v>47156.85</v>
      </c>
    </row>
    <row r="68" spans="1:17" s="34" customFormat="1" collapsed="1" x14ac:dyDescent="0.25">
      <c r="A68" s="35"/>
      <c r="B68" s="11" t="str">
        <f>CONCATENATE("     ","Rent                                              ")</f>
        <v xml:space="preserve">     Rent                                              </v>
      </c>
      <c r="C68" s="11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0</v>
      </c>
      <c r="H68" s="1">
        <f>SUM(OSRRefD21_11x_4)</f>
        <v>0</v>
      </c>
      <c r="I68" s="1">
        <f>SUM(OSRRefD21_11x_5)</f>
        <v>0</v>
      </c>
      <c r="J68" s="1">
        <f>SUM(OSRRefD21_11x_6)</f>
        <v>0</v>
      </c>
      <c r="K68" s="1">
        <f>SUM(OSRRefD21_11x_7)</f>
        <v>0</v>
      </c>
      <c r="L68" s="1">
        <f>SUM(OSRRefD21_11x_8)</f>
        <v>0</v>
      </c>
      <c r="M68" s="1">
        <f>SUM(OSRRefD21_11x_9)</f>
        <v>0</v>
      </c>
      <c r="N68" s="1">
        <f>SUM(OSRRefE21_11x_0)</f>
        <v>0</v>
      </c>
      <c r="O68" s="1">
        <f>SUM(OSRRefE21_11x_1)</f>
        <v>0</v>
      </c>
      <c r="Q68" s="2">
        <f>SUM(OSRRefD20_11x)+IFERROR(SUM(OSRRefE20_11x),0)</f>
        <v>0</v>
      </c>
    </row>
    <row r="69" spans="1:17" s="34" customFormat="1" hidden="1" outlineLevel="1" x14ac:dyDescent="0.25">
      <c r="A69" s="35"/>
      <c r="B69" s="10" t="str">
        <f>CONCATENATE("          ","6273", " - ","RENT")</f>
        <v xml:space="preserve">          6273 - RENT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0</v>
      </c>
      <c r="O69" s="2">
        <v>0</v>
      </c>
      <c r="P69" s="9"/>
      <c r="Q69" s="2">
        <f>SUM(OSRRefD21_11_0x)+IFERROR(SUM(OSRRefE21_11_0x),0)</f>
        <v>0</v>
      </c>
    </row>
    <row r="70" spans="1:17" s="34" customFormat="1" collapsed="1" x14ac:dyDescent="0.25">
      <c r="A70" s="35"/>
      <c r="B70" s="11" t="str">
        <f>CONCATENATE("     ","Repair and Maintenance                            ")</f>
        <v xml:space="preserve">     Repair and Maintenance                            </v>
      </c>
      <c r="C70" s="11"/>
      <c r="D70" s="1">
        <f>SUM(OSRRefD21_12x_0)</f>
        <v>114</v>
      </c>
      <c r="E70" s="1">
        <f>SUM(OSRRefD21_12x_1)</f>
        <v>443.7</v>
      </c>
      <c r="F70" s="1">
        <f>SUM(OSRRefD21_12x_2)</f>
        <v>529.01</v>
      </c>
      <c r="G70" s="1">
        <f>SUM(OSRRefD21_12x_3)</f>
        <v>22.02</v>
      </c>
      <c r="H70" s="1">
        <f>SUM(OSRRefD21_12x_4)</f>
        <v>881.67</v>
      </c>
      <c r="I70" s="1">
        <f>SUM(OSRRefD21_12x_5)</f>
        <v>301.45</v>
      </c>
      <c r="J70" s="1">
        <f>SUM(OSRRefD21_12x_6)</f>
        <v>0</v>
      </c>
      <c r="K70" s="1">
        <f>SUM(OSRRefD21_12x_7)</f>
        <v>108</v>
      </c>
      <c r="L70" s="1">
        <f>SUM(OSRRefD21_12x_8)</f>
        <v>426.45</v>
      </c>
      <c r="M70" s="1">
        <f>SUM(OSRRefD21_12x_9)</f>
        <v>0</v>
      </c>
      <c r="N70" s="1">
        <f>SUM(OSRRefE21_12x_0)</f>
        <v>0</v>
      </c>
      <c r="O70" s="1">
        <f>SUM(OSRRefE21_12x_1)</f>
        <v>0</v>
      </c>
      <c r="Q70" s="2">
        <f>SUM(OSRRefD20_12x)+IFERROR(SUM(OSRRefE20_12x),0)</f>
        <v>2826.2999999999997</v>
      </c>
    </row>
    <row r="71" spans="1:17" s="34" customFormat="1" hidden="1" outlineLevel="1" x14ac:dyDescent="0.25">
      <c r="A71" s="35"/>
      <c r="B71" s="10" t="str">
        <f>CONCATENATE("          ","6373", " - ","MAINTENANCE CONTRACTS")</f>
        <v xml:space="preserve">          6373 - MAINTENANCE CONTRACTS</v>
      </c>
      <c r="C71" s="11"/>
      <c r="D71" s="2"/>
      <c r="E71" s="2">
        <v>353.7</v>
      </c>
      <c r="F71" s="2">
        <v>301.45</v>
      </c>
      <c r="G71" s="2"/>
      <c r="H71" s="2"/>
      <c r="I71" s="2">
        <v>301.45</v>
      </c>
      <c r="J71" s="2"/>
      <c r="K71" s="2"/>
      <c r="L71" s="2">
        <v>301.45</v>
      </c>
      <c r="M71" s="2"/>
      <c r="N71" s="2"/>
      <c r="O71" s="2"/>
      <c r="P71" s="9"/>
      <c r="Q71" s="2">
        <f>SUM(OSRRefD21_12_0x)+IFERROR(SUM(OSRRefE21_12_0x),0)</f>
        <v>1258.05</v>
      </c>
    </row>
    <row r="72" spans="1:17" s="34" customFormat="1" hidden="1" outlineLevel="1" x14ac:dyDescent="0.25">
      <c r="A72" s="35"/>
      <c r="B72" s="10" t="str">
        <f>CONCATENATE("          ","6375", " - ","OUTSIDE REPAIRS &amp; MAINTENANCE")</f>
        <v xml:space="preserve">          6375 - OUTSIDE REPAIRS &amp; MAINTENANCE</v>
      </c>
      <c r="C72" s="11"/>
      <c r="D72" s="2">
        <v>114</v>
      </c>
      <c r="E72" s="2">
        <v>90</v>
      </c>
      <c r="F72" s="2">
        <v>227.56</v>
      </c>
      <c r="G72" s="2">
        <v>22.02</v>
      </c>
      <c r="H72" s="2">
        <v>881.67</v>
      </c>
      <c r="I72" s="2"/>
      <c r="J72" s="2"/>
      <c r="K72" s="2">
        <v>108</v>
      </c>
      <c r="L72" s="2">
        <v>125</v>
      </c>
      <c r="M72" s="2"/>
      <c r="N72" s="2">
        <v>0</v>
      </c>
      <c r="O72" s="2">
        <v>0</v>
      </c>
      <c r="P72" s="9"/>
      <c r="Q72" s="2">
        <f>SUM(OSRRefD21_12_1x)+IFERROR(SUM(OSRRefE21_12_1x),0)</f>
        <v>1568.25</v>
      </c>
    </row>
    <row r="73" spans="1:17" s="34" customFormat="1" collapsed="1" x14ac:dyDescent="0.25">
      <c r="A73" s="35"/>
      <c r="B73" s="11" t="str">
        <f>CONCATENATE("     ","Royalty &amp; Commissions                             ")</f>
        <v xml:space="preserve">     Royalty &amp; Commissions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185.7</v>
      </c>
      <c r="H73" s="1">
        <f>SUM(OSRRefD21_13x_4)</f>
        <v>0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SUM(OSRRefE21_13x_0)</f>
        <v>0</v>
      </c>
      <c r="O73" s="1">
        <f>SUM(OSRRefE21_13x_1)</f>
        <v>0</v>
      </c>
      <c r="Q73" s="2">
        <f>SUM(OSRRefD20_13x)+IFERROR(SUM(OSRRefE20_13x),0)</f>
        <v>185.7</v>
      </c>
    </row>
    <row r="74" spans="1:17" s="34" customFormat="1" hidden="1" outlineLevel="1" x14ac:dyDescent="0.25">
      <c r="A74" s="35"/>
      <c r="B74" s="10" t="str">
        <f>CONCATENATE("          ","6254", " - ","ROYALTY &amp; COMMISSIONS")</f>
        <v xml:space="preserve">          6254 - ROYALTY &amp; COMMISSIONS</v>
      </c>
      <c r="C74" s="11"/>
      <c r="D74" s="2"/>
      <c r="E74" s="2"/>
      <c r="F74" s="2"/>
      <c r="G74" s="2">
        <v>185.7</v>
      </c>
      <c r="H74" s="2"/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185.7</v>
      </c>
    </row>
    <row r="75" spans="1:17" s="34" customFormat="1" collapsed="1" x14ac:dyDescent="0.25">
      <c r="A75" s="35"/>
      <c r="B75" s="11" t="str">
        <f>CONCATENATE("     ","Services                                          ")</f>
        <v xml:space="preserve">     Services                                          </v>
      </c>
      <c r="C75" s="11"/>
      <c r="D75" s="1">
        <f>SUM(OSRRefD21_14x_0)</f>
        <v>-804.6</v>
      </c>
      <c r="E75" s="1">
        <f>SUM(OSRRefD21_14x_1)</f>
        <v>-769.16</v>
      </c>
      <c r="F75" s="1">
        <f>SUM(OSRRefD21_14x_2)</f>
        <v>41</v>
      </c>
      <c r="G75" s="1">
        <f>SUM(OSRRefD21_14x_3)</f>
        <v>558</v>
      </c>
      <c r="H75" s="1">
        <f>SUM(OSRRefD21_14x_4)</f>
        <v>330</v>
      </c>
      <c r="I75" s="1">
        <f>SUM(OSRRefD21_14x_5)</f>
        <v>998.65</v>
      </c>
      <c r="J75" s="1">
        <f>SUM(OSRRefD21_14x_6)</f>
        <v>1060.33</v>
      </c>
      <c r="K75" s="1">
        <f>SUM(OSRRefD21_14x_7)</f>
        <v>430.93</v>
      </c>
      <c r="L75" s="1">
        <f>SUM(OSRRefD21_14x_8)</f>
        <v>160.20999999999998</v>
      </c>
      <c r="M75" s="1">
        <f>SUM(OSRRefD21_14x_9)</f>
        <v>440.85</v>
      </c>
      <c r="N75" s="1">
        <f>SUM(OSRRefE21_14x_0)</f>
        <v>0</v>
      </c>
      <c r="O75" s="1">
        <f>SUM(OSRRefE21_14x_1)</f>
        <v>0</v>
      </c>
      <c r="Q75" s="2">
        <f>SUM(OSRRefD20_14x)+IFERROR(SUM(OSRRefE20_14x),0)</f>
        <v>2446.21</v>
      </c>
    </row>
    <row r="76" spans="1:17" s="34" customFormat="1" hidden="1" outlineLevel="1" x14ac:dyDescent="0.25">
      <c r="A76" s="35"/>
      <c r="B76" s="10" t="str">
        <f>CONCATENATE("          ","6282", " - ","JANITORIAL/EXTERMINATOR EXPENS")</f>
        <v xml:space="preserve">          6282 - JANITORIAL/EXTERMINATOR EXPENS</v>
      </c>
      <c r="C76" s="11"/>
      <c r="D76" s="2"/>
      <c r="E76" s="2">
        <v>-769.16</v>
      </c>
      <c r="F76" s="2">
        <v>41</v>
      </c>
      <c r="G76" s="2">
        <v>558</v>
      </c>
      <c r="H76" s="2">
        <v>41</v>
      </c>
      <c r="I76" s="2">
        <v>709.65</v>
      </c>
      <c r="J76" s="2">
        <v>771.33</v>
      </c>
      <c r="K76" s="2">
        <v>141.93</v>
      </c>
      <c r="L76" s="2">
        <v>441.21</v>
      </c>
      <c r="M76" s="2">
        <v>151.85</v>
      </c>
      <c r="N76" s="2"/>
      <c r="O76" s="2"/>
      <c r="P76" s="9"/>
      <c r="Q76" s="2">
        <f>SUM(OSRRefD21_14_0x)+IFERROR(SUM(OSRRefE21_14_0x),0)</f>
        <v>2086.8100000000004</v>
      </c>
    </row>
    <row r="77" spans="1:17" s="34" customFormat="1" hidden="1" outlineLevel="1" x14ac:dyDescent="0.25">
      <c r="A77" s="35"/>
      <c r="B77" s="10" t="str">
        <f>CONCATENATE("          ","6284", " - ","TRASH REMOVAL EXPENSE")</f>
        <v xml:space="preserve">          6284 - TRASH REMOVAL EXPENSE</v>
      </c>
      <c r="C77" s="11"/>
      <c r="D77" s="2"/>
      <c r="E77" s="2"/>
      <c r="F77" s="2"/>
      <c r="G77" s="2"/>
      <c r="H77" s="2">
        <v>289</v>
      </c>
      <c r="I77" s="2">
        <v>289</v>
      </c>
      <c r="J77" s="2">
        <v>289</v>
      </c>
      <c r="K77" s="2">
        <v>289</v>
      </c>
      <c r="L77" s="2">
        <v>-281</v>
      </c>
      <c r="M77" s="2">
        <v>289</v>
      </c>
      <c r="N77" s="2"/>
      <c r="O77" s="2"/>
      <c r="P77" s="9"/>
      <c r="Q77" s="2">
        <f>SUM(OSRRefD21_14_1x)+IFERROR(SUM(OSRRefE21_14_1x),0)</f>
        <v>1164</v>
      </c>
    </row>
    <row r="78" spans="1:17" s="34" customFormat="1" hidden="1" outlineLevel="1" x14ac:dyDescent="0.25">
      <c r="A78" s="35"/>
      <c r="B78" s="10" t="str">
        <f>CONCATENATE("          ","6285", " - ","JANITORIAL SERVICES")</f>
        <v xml:space="preserve">          6285 - JANITORIAL SERVICES</v>
      </c>
      <c r="C78" s="11"/>
      <c r="D78" s="2">
        <v>-804.6</v>
      </c>
      <c r="E78" s="2"/>
      <c r="F78" s="2"/>
      <c r="G78" s="2"/>
      <c r="H78" s="2"/>
      <c r="I78" s="2"/>
      <c r="J78" s="2"/>
      <c r="K78" s="2"/>
      <c r="L78" s="2"/>
      <c r="M78" s="2"/>
      <c r="N78" s="2">
        <v>0</v>
      </c>
      <c r="O78" s="2">
        <v>0</v>
      </c>
      <c r="P78" s="9"/>
      <c r="Q78" s="2">
        <f>SUM(OSRRefD21_14_2x)+IFERROR(SUM(OSRRefE21_14_2x),0)</f>
        <v>-804.6</v>
      </c>
    </row>
    <row r="79" spans="1:17" s="34" customFormat="1" collapsed="1" x14ac:dyDescent="0.25">
      <c r="A79" s="35"/>
      <c r="B79" s="11" t="str">
        <f>CONCATENATE("     ","Supplies                                          ")</f>
        <v xml:space="preserve">     Supplies                                          </v>
      </c>
      <c r="C79" s="11"/>
      <c r="D79" s="1">
        <f>SUM(OSRRefD21_15x_0)</f>
        <v>207.27</v>
      </c>
      <c r="E79" s="1">
        <f>SUM(OSRRefD21_15x_1)</f>
        <v>121.6</v>
      </c>
      <c r="F79" s="1">
        <f>SUM(OSRRefD21_15x_2)</f>
        <v>724.22</v>
      </c>
      <c r="G79" s="1">
        <f>SUM(OSRRefD21_15x_3)</f>
        <v>41</v>
      </c>
      <c r="H79" s="1">
        <f>SUM(OSRRefD21_15x_4)</f>
        <v>0</v>
      </c>
      <c r="I79" s="1">
        <f>SUM(OSRRefD21_15x_5)</f>
        <v>0</v>
      </c>
      <c r="J79" s="1">
        <f>SUM(OSRRefD21_15x_6)</f>
        <v>0</v>
      </c>
      <c r="K79" s="1">
        <f>SUM(OSRRefD21_15x_7)</f>
        <v>0</v>
      </c>
      <c r="L79" s="1">
        <f>SUM(OSRRefD21_15x_8)</f>
        <v>0</v>
      </c>
      <c r="M79" s="1">
        <f>SUM(OSRRefD21_15x_9)</f>
        <v>0</v>
      </c>
      <c r="N79" s="1">
        <f>SUM(OSRRefE21_15x_0)</f>
        <v>0</v>
      </c>
      <c r="O79" s="1">
        <f>SUM(OSRRefE21_15x_1)</f>
        <v>0</v>
      </c>
      <c r="Q79" s="2">
        <f>SUM(OSRRefD20_15x)+IFERROR(SUM(OSRRefE20_15x),0)</f>
        <v>1094.0900000000001</v>
      </c>
    </row>
    <row r="80" spans="1:17" s="34" customFormat="1" hidden="1" outlineLevel="1" x14ac:dyDescent="0.25">
      <c r="A80" s="35"/>
      <c r="B80" s="10" t="str">
        <f>CONCATENATE("          ","6234", " - ","EXPENDABLE SUPPLIES &amp; EQUIPMEN")</f>
        <v xml:space="preserve">          6234 - EXPENDABLE SUPPLIES &amp; EQUIPMEN</v>
      </c>
      <c r="C80" s="11"/>
      <c r="D80" s="2"/>
      <c r="E80" s="2"/>
      <c r="F80" s="2">
        <v>316.67</v>
      </c>
      <c r="G80" s="2"/>
      <c r="H80" s="2"/>
      <c r="I80" s="2"/>
      <c r="J80" s="2"/>
      <c r="K80" s="2"/>
      <c r="L80" s="2"/>
      <c r="M80" s="2"/>
      <c r="N80" s="2">
        <v>0</v>
      </c>
      <c r="O80" s="2"/>
      <c r="P80" s="9"/>
      <c r="Q80" s="2">
        <f>SUM(OSRRefD21_15_0x)+IFERROR(SUM(OSRRefE21_15_0x),0)</f>
        <v>316.67</v>
      </c>
    </row>
    <row r="81" spans="1:17" s="34" customFormat="1" hidden="1" outlineLevel="1" x14ac:dyDescent="0.25">
      <c r="A81" s="35"/>
      <c r="B81" s="10" t="str">
        <f>CONCATENATE("          ","6235", " - ","COVID-19 EXPENSES")</f>
        <v xml:space="preserve">          6235 - COVID-19 EXPENSES</v>
      </c>
      <c r="C81" s="11"/>
      <c r="D81" s="2">
        <v>207.27</v>
      </c>
      <c r="E81" s="2"/>
      <c r="F81" s="2"/>
      <c r="G81" s="2"/>
      <c r="H81" s="2"/>
      <c r="I81" s="2"/>
      <c r="J81" s="2"/>
      <c r="K81" s="2"/>
      <c r="L81" s="2"/>
      <c r="M81" s="2"/>
      <c r="N81" s="2">
        <v>0</v>
      </c>
      <c r="O81" s="2">
        <v>0</v>
      </c>
      <c r="P81" s="9"/>
      <c r="Q81" s="2">
        <f>SUM(OSRRefD21_15_1x)+IFERROR(SUM(OSRRefE21_15_1x),0)</f>
        <v>207.27</v>
      </c>
    </row>
    <row r="82" spans="1:17" s="34" customFormat="1" hidden="1" outlineLevel="1" x14ac:dyDescent="0.25">
      <c r="A82" s="35"/>
      <c r="B82" s="10" t="str">
        <f>CONCATENATE("          ","6237", " - ","JANITORIAL SUPPLIES")</f>
        <v xml:space="preserve">          6237 - JANITORIAL SUPPLIES</v>
      </c>
      <c r="C82" s="11"/>
      <c r="D82" s="2"/>
      <c r="E82" s="2"/>
      <c r="F82" s="2">
        <v>317.57</v>
      </c>
      <c r="G82" s="2"/>
      <c r="H82" s="2"/>
      <c r="I82" s="2"/>
      <c r="J82" s="2"/>
      <c r="K82" s="2"/>
      <c r="L82" s="2"/>
      <c r="M82" s="2"/>
      <c r="N82" s="2">
        <v>0</v>
      </c>
      <c r="O82" s="2"/>
      <c r="P82" s="9"/>
      <c r="Q82" s="2">
        <f>SUM(OSRRefD21_15_2x)+IFERROR(SUM(OSRRefE21_15_2x),0)</f>
        <v>317.57</v>
      </c>
    </row>
    <row r="83" spans="1:17" s="34" customFormat="1" hidden="1" outlineLevel="1" x14ac:dyDescent="0.25">
      <c r="A83" s="35"/>
      <c r="B83" s="10" t="str">
        <f>CONCATENATE("          ","6241", " - ","OFFICE EXPENSE")</f>
        <v xml:space="preserve">          6241 - OFFICE EXPENSE</v>
      </c>
      <c r="C83" s="11"/>
      <c r="D83" s="2"/>
      <c r="E83" s="2">
        <v>41.32</v>
      </c>
      <c r="F83" s="2">
        <v>89.98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SUM(OSRRefD21_15_3x)+IFERROR(SUM(OSRRefE21_15_3x),0)</f>
        <v>131.30000000000001</v>
      </c>
    </row>
    <row r="84" spans="1:17" s="34" customFormat="1" hidden="1" outlineLevel="1" x14ac:dyDescent="0.25">
      <c r="A84" s="35"/>
      <c r="B84" s="10" t="str">
        <f>CONCATENATE("          ","6243", " - ","PAPER SUPPLIES")</f>
        <v xml:space="preserve">          6243 - PAPER SUPPLIES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>
        <v>0</v>
      </c>
      <c r="O84" s="2"/>
      <c r="P84" s="9"/>
      <c r="Q84" s="2">
        <f>SUM(OSRRefD21_15_4x)+IFERROR(SUM(OSRRefE21_15_4x),0)</f>
        <v>0</v>
      </c>
    </row>
    <row r="85" spans="1:17" s="34" customFormat="1" hidden="1" outlineLevel="1" x14ac:dyDescent="0.25">
      <c r="A85" s="35"/>
      <c r="B85" s="10" t="str">
        <f>CONCATENATE("          ","6247", " - ","STORE SUPPLIES")</f>
        <v xml:space="preserve">          6247 - STORE SUPPLIES</v>
      </c>
      <c r="C85" s="11"/>
      <c r="D85" s="2"/>
      <c r="E85" s="2">
        <v>80.28</v>
      </c>
      <c r="F85" s="2"/>
      <c r="G85" s="2">
        <v>41</v>
      </c>
      <c r="H85" s="2"/>
      <c r="I85" s="2"/>
      <c r="J85" s="2"/>
      <c r="K85" s="2"/>
      <c r="L85" s="2"/>
      <c r="M85" s="2"/>
      <c r="N85" s="2">
        <v>0</v>
      </c>
      <c r="O85" s="2">
        <v>0</v>
      </c>
      <c r="P85" s="9"/>
      <c r="Q85" s="2">
        <f>SUM(OSRRefD21_15_5x)+IFERROR(SUM(OSRRefE21_15_5x),0)</f>
        <v>121.28</v>
      </c>
    </row>
    <row r="86" spans="1:17" s="34" customFormat="1" collapsed="1" x14ac:dyDescent="0.25">
      <c r="A86" s="35"/>
      <c r="B86" s="11" t="str">
        <f>CONCATENATE("     ","Telephone/Data Lines                              ")</f>
        <v xml:space="preserve">     Telephone/Data Lines                              </v>
      </c>
      <c r="C86" s="11"/>
      <c r="D86" s="1">
        <f>SUM(OSRRefD21_16x_0)</f>
        <v>388.81</v>
      </c>
      <c r="E86" s="1">
        <f>SUM(OSRRefD21_16x_1)</f>
        <v>388.56</v>
      </c>
      <c r="F86" s="1">
        <f>SUM(OSRRefD21_16x_2)</f>
        <v>328.87</v>
      </c>
      <c r="G86" s="1">
        <f>SUM(OSRRefD21_16x_3)</f>
        <v>1151</v>
      </c>
      <c r="H86" s="1">
        <f>SUM(OSRRefD21_16x_4)</f>
        <v>127.5</v>
      </c>
      <c r="I86" s="1">
        <f>SUM(OSRRefD21_16x_5)</f>
        <v>275.55</v>
      </c>
      <c r="J86" s="1">
        <f>SUM(OSRRefD21_16x_6)</f>
        <v>325.5</v>
      </c>
      <c r="K86" s="1">
        <f>SUM(OSRRefD21_16x_7)</f>
        <v>25.65</v>
      </c>
      <c r="L86" s="1">
        <f>SUM(OSRRefD21_16x_8)</f>
        <v>181.45</v>
      </c>
      <c r="M86" s="1">
        <f>SUM(OSRRefD21_16x_9)</f>
        <v>325.5</v>
      </c>
      <c r="N86" s="1">
        <f>SUM(OSRRefE21_16x_0)</f>
        <v>115</v>
      </c>
      <c r="O86" s="1">
        <f>SUM(OSRRefE21_16x_1)</f>
        <v>115</v>
      </c>
      <c r="Q86" s="2">
        <f>SUM(OSRRefD20_16x)+IFERROR(SUM(OSRRefE20_16x),0)</f>
        <v>3748.39</v>
      </c>
    </row>
    <row r="87" spans="1:17" s="34" customFormat="1" hidden="1" outlineLevel="1" x14ac:dyDescent="0.25">
      <c r="A87" s="35"/>
      <c r="B87" s="10" t="str">
        <f>CONCATENATE("          ","6303", " - ","DATA PHONE LINES")</f>
        <v xml:space="preserve">          6303 - DATA PHONE LINES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>
        <v>115</v>
      </c>
      <c r="O87" s="2">
        <v>115</v>
      </c>
      <c r="P87" s="9"/>
      <c r="Q87" s="2">
        <f>SUM(OSRRefD21_16_0x)+IFERROR(SUM(OSRRefE21_16_0x),0)</f>
        <v>230</v>
      </c>
    </row>
    <row r="88" spans="1:17" s="34" customFormat="1" hidden="1" outlineLevel="1" x14ac:dyDescent="0.25">
      <c r="A88" s="35"/>
      <c r="B88" s="10" t="str">
        <f>CONCATENATE("          ","6309", " - ","TELEPHONE")</f>
        <v xml:space="preserve">          6309 - TELEPHONE</v>
      </c>
      <c r="C88" s="11"/>
      <c r="D88" s="2">
        <v>388.81</v>
      </c>
      <c r="E88" s="2">
        <v>388.56</v>
      </c>
      <c r="F88" s="2">
        <v>328.87</v>
      </c>
      <c r="G88" s="2">
        <v>1151</v>
      </c>
      <c r="H88" s="2">
        <v>127.5</v>
      </c>
      <c r="I88" s="2">
        <v>275.55</v>
      </c>
      <c r="J88" s="2">
        <v>325.5</v>
      </c>
      <c r="K88" s="2">
        <v>25.65</v>
      </c>
      <c r="L88" s="2">
        <v>181.45</v>
      </c>
      <c r="M88" s="2">
        <v>325.5</v>
      </c>
      <c r="N88" s="2"/>
      <c r="O88" s="2"/>
      <c r="P88" s="9"/>
      <c r="Q88" s="2">
        <f>SUM(OSRRefD21_16_1x)+IFERROR(SUM(OSRRefE21_16_1x),0)</f>
        <v>3518.39</v>
      </c>
    </row>
    <row r="89" spans="1:17" s="34" customFormat="1" collapsed="1" x14ac:dyDescent="0.25">
      <c r="A89" s="35"/>
      <c r="B89" s="11" t="str">
        <f>CONCATENATE("     ","Utilities                                         ")</f>
        <v xml:space="preserve">     Utilities                                         </v>
      </c>
      <c r="C89" s="11"/>
      <c r="D89" s="1">
        <f>SUM(OSRRefD21_17x_0)</f>
        <v>50</v>
      </c>
      <c r="E89" s="1">
        <f>SUM(OSRRefD21_17x_1)</f>
        <v>50</v>
      </c>
      <c r="F89" s="1">
        <f>SUM(OSRRefD21_17x_2)</f>
        <v>50</v>
      </c>
      <c r="G89" s="1">
        <f>SUM(OSRRefD21_17x_3)</f>
        <v>1136</v>
      </c>
      <c r="H89" s="1">
        <f>SUM(OSRRefD21_17x_4)</f>
        <v>1136</v>
      </c>
      <c r="I89" s="1">
        <f>SUM(OSRRefD21_17x_5)</f>
        <v>1136</v>
      </c>
      <c r="J89" s="1">
        <f>SUM(OSRRefD21_17x_6)</f>
        <v>1136</v>
      </c>
      <c r="K89" s="1">
        <f>SUM(OSRRefD21_17x_7)</f>
        <v>1136</v>
      </c>
      <c r="L89" s="1">
        <f>SUM(OSRRefD21_17x_8)</f>
        <v>-1182</v>
      </c>
      <c r="M89" s="1">
        <f>SUM(OSRRefD21_17x_9)</f>
        <v>1136</v>
      </c>
      <c r="N89" s="1">
        <f>SUM(OSRRefE21_17x_0)</f>
        <v>850</v>
      </c>
      <c r="O89" s="1">
        <f>SUM(OSRRefE21_17x_1)</f>
        <v>850</v>
      </c>
      <c r="Q89" s="2">
        <f>SUM(OSRRefD20_17x)+IFERROR(SUM(OSRRefE20_17x),0)</f>
        <v>7484</v>
      </c>
    </row>
    <row r="90" spans="1:17" s="34" customFormat="1" hidden="1" outlineLevel="1" x14ac:dyDescent="0.25">
      <c r="A90" s="35"/>
      <c r="B90" s="10" t="str">
        <f>CONCATENATE("          ","6274", " - ","UTILITIES")</f>
        <v xml:space="preserve">          6274 - UTILITIES</v>
      </c>
      <c r="C90" s="11"/>
      <c r="D90" s="2">
        <v>50</v>
      </c>
      <c r="E90" s="2">
        <v>50</v>
      </c>
      <c r="F90" s="2">
        <v>50</v>
      </c>
      <c r="G90" s="2">
        <v>1136</v>
      </c>
      <c r="H90" s="2">
        <v>1136</v>
      </c>
      <c r="I90" s="2">
        <v>1136</v>
      </c>
      <c r="J90" s="2">
        <v>1136</v>
      </c>
      <c r="K90" s="2">
        <v>1136</v>
      </c>
      <c r="L90" s="2">
        <v>-1182</v>
      </c>
      <c r="M90" s="2">
        <v>1136</v>
      </c>
      <c r="N90" s="2">
        <v>850</v>
      </c>
      <c r="O90" s="2">
        <v>850</v>
      </c>
      <c r="P90" s="9"/>
      <c r="Q90" s="2">
        <f>SUM(OSRRefD21_17_0x)+IFERROR(SUM(OSRRefE21_17_0x),0)</f>
        <v>7484</v>
      </c>
    </row>
    <row r="91" spans="1:17" s="30" customFormat="1" x14ac:dyDescent="0.25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25">
      <c r="A92" s="23"/>
      <c r="B92" s="16" t="s">
        <v>291</v>
      </c>
      <c r="C92" s="22"/>
      <c r="D92" s="3">
        <f t="shared" ref="D92:M92" si="7">0</f>
        <v>0</v>
      </c>
      <c r="E92" s="3">
        <f t="shared" si="7"/>
        <v>0</v>
      </c>
      <c r="F92" s="3">
        <f t="shared" si="7"/>
        <v>0</v>
      </c>
      <c r="G92" s="3">
        <f t="shared" si="7"/>
        <v>0</v>
      </c>
      <c r="H92" s="3">
        <f t="shared" si="7"/>
        <v>0</v>
      </c>
      <c r="I92" s="3">
        <f t="shared" si="7"/>
        <v>0</v>
      </c>
      <c r="J92" s="3">
        <f t="shared" si="7"/>
        <v>0</v>
      </c>
      <c r="K92" s="3">
        <f t="shared" si="7"/>
        <v>0</v>
      </c>
      <c r="L92" s="3">
        <f t="shared" si="7"/>
        <v>0</v>
      </c>
      <c r="M92" s="3">
        <f t="shared" si="7"/>
        <v>0</v>
      </c>
      <c r="N92" s="3"/>
      <c r="O92" s="3"/>
      <c r="Q92" s="2">
        <f>SUM(OSRRefD23_0x)+IFERROR(SUM(OSRRefE23_0x),0)</f>
        <v>0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6"/>
      <c r="B94" s="17" t="s">
        <v>274</v>
      </c>
      <c r="C94" s="17"/>
      <c r="D94" s="8">
        <f t="shared" ref="D94:O94" si="8">IFERROR(+D24-D27+D92, 0)</f>
        <v>-35048.209999999992</v>
      </c>
      <c r="E94" s="8">
        <f t="shared" si="8"/>
        <v>-27111.89</v>
      </c>
      <c r="F94" s="8">
        <f t="shared" si="8"/>
        <v>-30477.680000000004</v>
      </c>
      <c r="G94" s="8">
        <f t="shared" si="8"/>
        <v>-39453.07</v>
      </c>
      <c r="H94" s="8">
        <f t="shared" si="8"/>
        <v>-25744.79</v>
      </c>
      <c r="I94" s="8">
        <f t="shared" si="8"/>
        <v>-20721.5</v>
      </c>
      <c r="J94" s="8">
        <f t="shared" si="8"/>
        <v>-15691.240000000002</v>
      </c>
      <c r="K94" s="8">
        <f t="shared" si="8"/>
        <v>-34647.020000000004</v>
      </c>
      <c r="L94" s="8">
        <f t="shared" si="8"/>
        <v>-14033.840000000004</v>
      </c>
      <c r="M94" s="8">
        <f t="shared" si="8"/>
        <v>-15722.780000000002</v>
      </c>
      <c r="N94" s="8">
        <f t="shared" si="8"/>
        <v>-21024.812864</v>
      </c>
      <c r="O94" s="8">
        <f t="shared" si="8"/>
        <v>-21263.812864</v>
      </c>
      <c r="Q94" s="8">
        <f>IFERROR(+Q24-Q27+Q92, 0)</f>
        <v>-300940.64572800003</v>
      </c>
    </row>
    <row r="95" spans="1:17" s="6" customFormat="1" x14ac:dyDescent="0.25">
      <c r="B95" s="16"/>
      <c r="C95" s="16"/>
      <c r="D95" s="4">
        <f t="shared" ref="D95:O95" si="9">IFERROR(D94/D10, 0)</f>
        <v>0</v>
      </c>
      <c r="E95" s="4">
        <f t="shared" si="9"/>
        <v>-32.902779126213595</v>
      </c>
      <c r="F95" s="4">
        <f t="shared" si="9"/>
        <v>-17.292595051263287</v>
      </c>
      <c r="G95" s="4">
        <f t="shared" si="9"/>
        <v>0</v>
      </c>
      <c r="H95" s="4">
        <f t="shared" si="9"/>
        <v>0</v>
      </c>
      <c r="I95" s="4">
        <f t="shared" si="9"/>
        <v>0</v>
      </c>
      <c r="J95" s="4">
        <f t="shared" si="9"/>
        <v>0</v>
      </c>
      <c r="K95" s="4">
        <f t="shared" si="9"/>
        <v>-258.55985074626869</v>
      </c>
      <c r="L95" s="4">
        <f t="shared" si="9"/>
        <v>-139.57076081551472</v>
      </c>
      <c r="M95" s="4">
        <f t="shared" si="9"/>
        <v>-302.94373795761084</v>
      </c>
      <c r="N95" s="4">
        <f t="shared" si="9"/>
        <v>-28.761713904240764</v>
      </c>
      <c r="O95" s="4">
        <f t="shared" si="9"/>
        <v>-140.81995274172186</v>
      </c>
      <c r="P95" s="18"/>
      <c r="Q95" s="4">
        <f>IFERROR(Q94/Q10, 0)</f>
        <v>-80.145687718513329</v>
      </c>
    </row>
    <row r="96" spans="1:17" x14ac:dyDescent="0.25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x14ac:dyDescent="0.25">
      <c r="A97" s="25"/>
      <c r="B97" s="6" t="s">
        <v>125</v>
      </c>
      <c r="C97" s="6"/>
      <c r="D97" s="3"/>
      <c r="E97" s="3">
        <v>139.12</v>
      </c>
      <c r="F97" s="3">
        <v>340.04</v>
      </c>
      <c r="G97" s="3">
        <v>81.13</v>
      </c>
      <c r="H97" s="3">
        <v>-142.94999999999999</v>
      </c>
      <c r="I97" s="3">
        <v>61.21</v>
      </c>
      <c r="J97" s="3">
        <v>-9.0399999999999991</v>
      </c>
      <c r="K97" s="3">
        <v>69.239999999999995</v>
      </c>
      <c r="L97" s="3">
        <v>42.64</v>
      </c>
      <c r="M97" s="3">
        <v>19.64</v>
      </c>
      <c r="N97" s="3">
        <v>334</v>
      </c>
      <c r="O97" s="3">
        <v>96</v>
      </c>
      <c r="Q97" s="2">
        <f>SUM(OSRRefD28_0x)+IFERROR(SUM(OSRRefE28_0x),0)</f>
        <v>1031.0299999999997</v>
      </c>
    </row>
    <row r="98" spans="1:17" x14ac:dyDescent="0.25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124</v>
      </c>
      <c r="C99" s="17"/>
      <c r="D99" s="7">
        <f t="shared" ref="D99:O99" si="10">IFERROR(+D94-D97, 0)</f>
        <v>-35048.209999999992</v>
      </c>
      <c r="E99" s="7">
        <f t="shared" si="10"/>
        <v>-27251.01</v>
      </c>
      <c r="F99" s="7">
        <f t="shared" si="10"/>
        <v>-30817.720000000005</v>
      </c>
      <c r="G99" s="7">
        <f t="shared" si="10"/>
        <v>-39534.199999999997</v>
      </c>
      <c r="H99" s="7">
        <f t="shared" si="10"/>
        <v>-25601.84</v>
      </c>
      <c r="I99" s="7">
        <f t="shared" si="10"/>
        <v>-20782.71</v>
      </c>
      <c r="J99" s="7">
        <f t="shared" si="10"/>
        <v>-15682.2</v>
      </c>
      <c r="K99" s="7">
        <f t="shared" si="10"/>
        <v>-34716.26</v>
      </c>
      <c r="L99" s="7">
        <f t="shared" si="10"/>
        <v>-14076.480000000003</v>
      </c>
      <c r="M99" s="7">
        <f t="shared" si="10"/>
        <v>-15742.420000000002</v>
      </c>
      <c r="N99" s="7">
        <f t="shared" si="10"/>
        <v>-21358.812864</v>
      </c>
      <c r="O99" s="7">
        <f t="shared" si="10"/>
        <v>-21359.812864</v>
      </c>
      <c r="Q99" s="7">
        <f>IFERROR(+Q94-Q97, 0)</f>
        <v>-301971.67572800006</v>
      </c>
    </row>
    <row r="100" spans="1:17" ht="15.75" thickTop="1" x14ac:dyDescent="0.25">
      <c r="A100" s="5"/>
      <c r="B100" s="5"/>
      <c r="C100" s="5"/>
      <c r="D100" s="4">
        <f t="shared" ref="D100:O100" si="11">IFERROR(D99/D10, 0)</f>
        <v>0</v>
      </c>
      <c r="E100" s="4">
        <f t="shared" si="11"/>
        <v>-33.071614077669899</v>
      </c>
      <c r="F100" s="4">
        <f t="shared" si="11"/>
        <v>-17.485528831696431</v>
      </c>
      <c r="G100" s="4">
        <f t="shared" si="11"/>
        <v>0</v>
      </c>
      <c r="H100" s="4">
        <f t="shared" si="11"/>
        <v>0</v>
      </c>
      <c r="I100" s="4">
        <f t="shared" si="11"/>
        <v>0</v>
      </c>
      <c r="J100" s="4">
        <f t="shared" si="11"/>
        <v>0</v>
      </c>
      <c r="K100" s="4">
        <f t="shared" si="11"/>
        <v>-259.0765671641791</v>
      </c>
      <c r="L100" s="4">
        <f t="shared" si="11"/>
        <v>-139.99482844356046</v>
      </c>
      <c r="M100" s="4">
        <f t="shared" si="11"/>
        <v>-303.32215799614647</v>
      </c>
      <c r="N100" s="4">
        <f t="shared" si="11"/>
        <v>-29.218622248974008</v>
      </c>
      <c r="O100" s="4">
        <f t="shared" si="11"/>
        <v>-141.45571433112582</v>
      </c>
      <c r="P100" s="18"/>
      <c r="Q100" s="4">
        <f>IFERROR(Q99/Q10, 0)</f>
        <v>-80.420268801465838</v>
      </c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292</v>
      </c>
      <c r="C103" s="17"/>
      <c r="D103" s="7">
        <f t="shared" ref="D103:O103" si="12">IFERROR(SUM(D99:D102), 0)</f>
        <v>-35048.209999999992</v>
      </c>
      <c r="E103" s="7">
        <f t="shared" si="12"/>
        <v>-27284.08161407767</v>
      </c>
      <c r="F103" s="7">
        <f t="shared" si="12"/>
        <v>-30835.205528831702</v>
      </c>
      <c r="G103" s="7">
        <f t="shared" si="12"/>
        <v>-39534.199999999997</v>
      </c>
      <c r="H103" s="7">
        <f t="shared" si="12"/>
        <v>-25601.84</v>
      </c>
      <c r="I103" s="7">
        <f t="shared" si="12"/>
        <v>-20782.71</v>
      </c>
      <c r="J103" s="7">
        <f t="shared" si="12"/>
        <v>-15682.2</v>
      </c>
      <c r="K103" s="7">
        <f t="shared" si="12"/>
        <v>-34975.33656716418</v>
      </c>
      <c r="L103" s="7">
        <f t="shared" si="12"/>
        <v>-14216.474828443565</v>
      </c>
      <c r="M103" s="7">
        <f t="shared" si="12"/>
        <v>-16045.742157996148</v>
      </c>
      <c r="N103" s="7">
        <f t="shared" si="12"/>
        <v>-21388.031486248972</v>
      </c>
      <c r="O103" s="7">
        <f t="shared" si="12"/>
        <v>-21501.268578331124</v>
      </c>
      <c r="Q103" s="7">
        <f>IFERROR(SUM(Q99:Q102), 0)</f>
        <v>-302052.09599680151</v>
      </c>
    </row>
    <row r="104" spans="1:17" ht="15.75" thickTop="1" x14ac:dyDescent="0.25">
      <c r="A104" s="5"/>
      <c r="C104" s="5"/>
      <c r="D104" s="4">
        <f t="shared" ref="D104:O104" si="13">IFERROR(D103/D10, 0)</f>
        <v>0</v>
      </c>
      <c r="E104" s="4">
        <f t="shared" si="13"/>
        <v>-33.111749531647661</v>
      </c>
      <c r="F104" s="4">
        <f t="shared" si="13"/>
        <v>-17.495449867987375</v>
      </c>
      <c r="G104" s="4">
        <f t="shared" si="13"/>
        <v>0</v>
      </c>
      <c r="H104" s="4">
        <f t="shared" si="13"/>
        <v>0</v>
      </c>
      <c r="I104" s="4">
        <f t="shared" si="13"/>
        <v>0</v>
      </c>
      <c r="J104" s="4">
        <f t="shared" si="13"/>
        <v>0</v>
      </c>
      <c r="K104" s="4">
        <f t="shared" si="13"/>
        <v>-261.00997438182225</v>
      </c>
      <c r="L104" s="4">
        <f t="shared" si="13"/>
        <v>-141.38711912922491</v>
      </c>
      <c r="M104" s="4">
        <f t="shared" si="13"/>
        <v>-309.16651556832659</v>
      </c>
      <c r="N104" s="4">
        <f t="shared" si="13"/>
        <v>-29.25859300444456</v>
      </c>
      <c r="O104" s="4">
        <f t="shared" si="13"/>
        <v>-142.39250714126572</v>
      </c>
      <c r="P104" s="18"/>
      <c r="Q104" s="4">
        <f>IFERROR(Q103/Q10, 0)</f>
        <v>-80.441686106974728</v>
      </c>
    </row>
    <row r="105" spans="1:17" x14ac:dyDescent="0.25">
      <c r="A105" s="5"/>
      <c r="B105" s="27">
        <v>44330.012660069442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31" t="s">
        <v>54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A107" s="5"/>
      <c r="B107" s="26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  <row r="108" spans="1:17" x14ac:dyDescent="0.25"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","4100", " - ","NON-TAXABLE SALES")</f>
        <v xml:space="preserve">          4100 - NON-TAXABLE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3"/>
      <c r="B13" s="16" t="s">
        <v>217</v>
      </c>
      <c r="C13" s="22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SUM(OSRRefE14x_0)</f>
        <v>0</v>
      </c>
      <c r="O13" s="3">
        <f>SUM(OSRRefE14x_1)</f>
        <v>0</v>
      </c>
      <c r="Q13" s="3">
        <f>SUM(OSRRefG14x)</f>
        <v>0</v>
      </c>
    </row>
    <row r="14" spans="1:18" s="9" customFormat="1" hidden="1" outlineLevel="1" x14ac:dyDescent="0.25">
      <c r="A14" s="23"/>
      <c r="B14" s="10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/>
      <c r="K14" s="2"/>
      <c r="L14" s="2"/>
      <c r="M14" s="2"/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IFERROR(+D10-D13, 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347.4</v>
      </c>
      <c r="E19" s="14">
        <f>SUM(OSRRefD20x_1)</f>
        <v>603.72</v>
      </c>
      <c r="F19" s="14">
        <f>SUM(OSRRefD20x_2)</f>
        <v>630.27</v>
      </c>
      <c r="G19" s="14">
        <f>SUM(OSRRefD20x_3)</f>
        <v>1206.6200000000001</v>
      </c>
      <c r="H19" s="14">
        <f>SUM(OSRRefD20x_4)</f>
        <v>1914.84</v>
      </c>
      <c r="I19" s="14">
        <f>SUM(OSRRefD20x_5)</f>
        <v>1548.05</v>
      </c>
      <c r="J19" s="14">
        <f>SUM(OSRRefD20x_6)</f>
        <v>760.09999999999991</v>
      </c>
      <c r="K19" s="14">
        <f>SUM(OSRRefD20x_7)</f>
        <v>760.09999999999991</v>
      </c>
      <c r="L19" s="14">
        <f>SUM(OSRRefD20x_8)</f>
        <v>950.26</v>
      </c>
      <c r="M19" s="14">
        <f>SUM(OSRRefD20x_9)</f>
        <v>770.02</v>
      </c>
      <c r="N19" s="14">
        <f>SUM(OSRRefE20x_0)</f>
        <v>0</v>
      </c>
      <c r="O19" s="14">
        <f>SUM(OSRRefE20x_1)</f>
        <v>0</v>
      </c>
      <c r="Q19" s="14">
        <f>SUM(OSRRefG20x)</f>
        <v>9491.380000000001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SUM(OSRRefE21_0x_0)</f>
        <v>0</v>
      </c>
      <c r="O20" s="1">
        <f>SUM(OSRRefE21_0x_1)</f>
        <v>0</v>
      </c>
      <c r="Q20" s="2">
        <f>SUM(OSRRefD20_0x)+IFERROR(SUM(OSRRefE20_0x),0)</f>
        <v>0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25">
      <c r="A22" s="35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25">
      <c r="A23" s="35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25">
      <c r="A24" s="35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25">
      <c r="A25" s="35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25">
      <c r="A26" s="35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25">
      <c r="A29" s="35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SUM(OSRRefE21_1x_0)</f>
        <v>0</v>
      </c>
      <c r="O29" s="1">
        <f>SUM(OSRRefE21_1x_1)</f>
        <v>0</v>
      </c>
      <c r="Q29" s="2">
        <f>SUM(OSRRefD20_1x)+IFERROR(SUM(OSRRefE20_1x),0)</f>
        <v>0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SUM(OSRRefE21_2x_0)</f>
        <v>0</v>
      </c>
      <c r="O40" s="1">
        <f>SUM(OSRRefE21_2x_1)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SUM(OSRRefE21_3x_0)</f>
        <v>0</v>
      </c>
      <c r="O42" s="1">
        <f>SUM(OSRRefE21_3x_1)</f>
        <v>0</v>
      </c>
      <c r="Q42" s="2">
        <f>SUM(OSRRefD20_3x)+IFERROR(SUM(OSRRefE20_3x),0)</f>
        <v>0</v>
      </c>
    </row>
    <row r="43" spans="1:17" s="34" customFormat="1" hidden="1" outlineLevel="1" x14ac:dyDescent="0.25">
      <c r="A43" s="35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25">
      <c r="A44" s="35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SUM(OSRRefD21_4x_6)</f>
        <v>588.16999999999996</v>
      </c>
      <c r="K44" s="1">
        <f>SUM(OSRRefD21_4x_7)</f>
        <v>588.16999999999996</v>
      </c>
      <c r="L44" s="1">
        <f>SUM(OSRRefD21_4x_8)</f>
        <v>588.16999999999996</v>
      </c>
      <c r="M44" s="1">
        <f>SUM(OSRRefD21_4x_9)</f>
        <v>588.16999999999996</v>
      </c>
      <c r="N44" s="1">
        <f>SUM(OSRRefE21_4x_0)</f>
        <v>0</v>
      </c>
      <c r="O44" s="1">
        <f>SUM(OSRRefE21_4x_1)</f>
        <v>0</v>
      </c>
      <c r="Q44" s="2">
        <f>SUM(OSRRefD20_4x)+IFERROR(SUM(OSRRefE20_4x),0)</f>
        <v>5617.4800000000005</v>
      </c>
    </row>
    <row r="45" spans="1:17" s="34" customFormat="1" hidden="1" outlineLevel="1" x14ac:dyDescent="0.25">
      <c r="A45" s="35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>
        <v>588.16999999999996</v>
      </c>
      <c r="K45" s="2">
        <v>588.16999999999996</v>
      </c>
      <c r="L45" s="2">
        <v>588.16999999999996</v>
      </c>
      <c r="M45" s="2">
        <v>588.16999999999996</v>
      </c>
      <c r="N45" s="2"/>
      <c r="O45" s="2"/>
      <c r="P45" s="9"/>
      <c r="Q45" s="2">
        <f>SUM(OSRRefD21_4_0x)+IFERROR(SUM(OSRRefE21_4_0x),0)</f>
        <v>5617.4800000000005</v>
      </c>
    </row>
    <row r="46" spans="1:17" s="34" customFormat="1" collapsed="1" x14ac:dyDescent="0.25">
      <c r="A46" s="35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SUM(OSRRefD21_5x_6)</f>
        <v>0</v>
      </c>
      <c r="K46" s="1">
        <f>SUM(OSRRefD21_5x_7)</f>
        <v>0</v>
      </c>
      <c r="L46" s="1">
        <f>SUM(OSRRefD21_5x_8)</f>
        <v>0</v>
      </c>
      <c r="M46" s="1">
        <f>SUM(OSRRefD21_5x_9)</f>
        <v>0</v>
      </c>
      <c r="N46" s="1">
        <f>SUM(OSRRefE21_5x_0)</f>
        <v>0</v>
      </c>
      <c r="O46" s="1">
        <f>SUM(OSRRefE21_5x_1)</f>
        <v>0</v>
      </c>
      <c r="Q46" s="2">
        <f>SUM(OSRRefD20_5x)+IFERROR(SUM(OSRRefE20_5x),0)</f>
        <v>12</v>
      </c>
    </row>
    <row r="47" spans="1:17" s="34" customFormat="1" hidden="1" outlineLevel="1" x14ac:dyDescent="0.25">
      <c r="A47" s="35"/>
      <c r="B47" s="10" t="str">
        <f>CONCATENATE("          ","6351", " - ","EQUIPMENT RENTAL")</f>
        <v xml:space="preserve">          6351 - EQUIPMENT RENTAL</v>
      </c>
      <c r="C47" s="11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4" customFormat="1" collapsed="1" x14ac:dyDescent="0.25">
      <c r="A48" s="35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0</v>
      </c>
      <c r="N48" s="1">
        <f>SUM(OSRRefE21_6x_0)</f>
        <v>0</v>
      </c>
      <c r="O48" s="1">
        <f>SUM(OSRRefE21_6x_1)</f>
        <v>0</v>
      </c>
      <c r="Q48" s="2">
        <f>SUM(OSRRefD20_6x)+IFERROR(SUM(OSRRefE20_6x),0)</f>
        <v>575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4" customFormat="1" collapsed="1" x14ac:dyDescent="0.25">
      <c r="A50" s="35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SUM(OSRRefD21_7x_6)</f>
        <v>0</v>
      </c>
      <c r="K50" s="1">
        <f>SUM(OSRRefD21_7x_7)</f>
        <v>0</v>
      </c>
      <c r="L50" s="1">
        <f>SUM(OSRRefD21_7x_8)</f>
        <v>48.23</v>
      </c>
      <c r="M50" s="1">
        <f>SUM(OSRRefD21_7x_9)</f>
        <v>0</v>
      </c>
      <c r="N50" s="1">
        <f>SUM(OSRRefE21_7x_0)</f>
        <v>0</v>
      </c>
      <c r="O50" s="1">
        <f>SUM(OSRRefE21_7x_1)</f>
        <v>0</v>
      </c>
      <c r="Q50" s="2">
        <f>SUM(OSRRefD20_7x)+IFERROR(SUM(OSRRefE20_7x),0)</f>
        <v>1280.28</v>
      </c>
    </row>
    <row r="51" spans="1:17" s="34" customFormat="1" hidden="1" outlineLevel="1" x14ac:dyDescent="0.25">
      <c r="A51" s="35"/>
      <c r="B51" s="10" t="str">
        <f>CONCATENATE("          ","6373", " - ","MAINTENANCE CONTRACTS")</f>
        <v xml:space="preserve">          6373 - MAINTENANCE CONTRACTS</v>
      </c>
      <c r="C51" s="11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>
        <v>48.23</v>
      </c>
      <c r="M51" s="2"/>
      <c r="N51" s="2"/>
      <c r="O51" s="2"/>
      <c r="P51" s="9"/>
      <c r="Q51" s="2">
        <f>SUM(OSRRefD21_7_0x)+IFERROR(SUM(OSRRefE21_7_0x),0)</f>
        <v>262.58999999999997</v>
      </c>
    </row>
    <row r="52" spans="1:17" s="34" customFormat="1" hidden="1" outlineLevel="1" x14ac:dyDescent="0.25">
      <c r="A52" s="35"/>
      <c r="B52" s="10" t="str">
        <f>CONCATENATE("          ","6375", " - ","OUTSIDE REPAIRS &amp; MAINTENANCE")</f>
        <v xml:space="preserve">          6375 - OUTSIDE REPAIRS &amp; MAINTENANCE</v>
      </c>
      <c r="C52" s="11"/>
      <c r="D52" s="2">
        <v>114</v>
      </c>
      <c r="E52" s="2"/>
      <c r="F52" s="2"/>
      <c r="G52" s="2">
        <v>22.02</v>
      </c>
      <c r="H52" s="2">
        <v>881.67</v>
      </c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SUM(OSRRefD21_7_1x)+IFERROR(SUM(OSRRefE21_7_1x),0)</f>
        <v>1017.6899999999999</v>
      </c>
    </row>
    <row r="53" spans="1:17" s="34" customFormat="1" collapsed="1" x14ac:dyDescent="0.25">
      <c r="A53" s="35"/>
      <c r="B53" s="11" t="str">
        <f>CONCATENATE("     ","Services                                          ")</f>
        <v xml:space="preserve">     Services                                          </v>
      </c>
      <c r="C53" s="11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SUM(OSRRefD21_8x_6)</f>
        <v>141.93</v>
      </c>
      <c r="K53" s="1">
        <f>SUM(OSRRefD21_8x_7)</f>
        <v>141.93</v>
      </c>
      <c r="L53" s="1">
        <f>SUM(OSRRefD21_8x_8)</f>
        <v>283.86</v>
      </c>
      <c r="M53" s="1">
        <f>SUM(OSRRefD21_8x_9)</f>
        <v>151.85</v>
      </c>
      <c r="N53" s="1">
        <f>SUM(OSRRefE21_8x_0)</f>
        <v>0</v>
      </c>
      <c r="O53" s="1">
        <f>SUM(OSRRefE21_8x_1)</f>
        <v>0</v>
      </c>
      <c r="Q53" s="2">
        <f>SUM(OSRRefD20_8x)+IFERROR(SUM(OSRRefE20_8x),0)</f>
        <v>1612.3000000000002</v>
      </c>
    </row>
    <row r="54" spans="1:17" s="34" customFormat="1" hidden="1" outlineLevel="1" x14ac:dyDescent="0.25">
      <c r="A54" s="35"/>
      <c r="B54" s="10" t="str">
        <f>CONCATENATE("          ","6282", " - ","JANITORIAL/EXTERMINATOR EXPENS")</f>
        <v xml:space="preserve">          6282 - JANITORIAL/EXTERMINATOR EXPENS</v>
      </c>
      <c r="C54" s="11"/>
      <c r="D54" s="2"/>
      <c r="E54" s="2">
        <v>-201.88</v>
      </c>
      <c r="F54" s="2"/>
      <c r="G54" s="2">
        <v>558</v>
      </c>
      <c r="H54" s="2"/>
      <c r="I54" s="2">
        <v>709.65</v>
      </c>
      <c r="J54" s="2">
        <v>141.93</v>
      </c>
      <c r="K54" s="2">
        <v>141.93</v>
      </c>
      <c r="L54" s="2">
        <v>283.86</v>
      </c>
      <c r="M54" s="2">
        <v>151.85</v>
      </c>
      <c r="N54" s="2"/>
      <c r="O54" s="2"/>
      <c r="P54" s="9"/>
      <c r="Q54" s="2">
        <f>SUM(OSRRefD21_8_0x)+IFERROR(SUM(OSRRefE21_8_0x),0)</f>
        <v>1785.3400000000001</v>
      </c>
    </row>
    <row r="55" spans="1:17" s="34" customFormat="1" hidden="1" outlineLevel="1" x14ac:dyDescent="0.25">
      <c r="A55" s="35"/>
      <c r="B55" s="10" t="str">
        <f>CONCATENATE("          ","6285", " - ","JANITORIAL SERVICES")</f>
        <v xml:space="preserve">          6285 - JANITORIAL SERVICES</v>
      </c>
      <c r="C55" s="11"/>
      <c r="D55" s="2">
        <v>-173.04</v>
      </c>
      <c r="E55" s="2"/>
      <c r="F55" s="2"/>
      <c r="G55" s="2"/>
      <c r="H55" s="2"/>
      <c r="I55" s="2"/>
      <c r="J55" s="2"/>
      <c r="K55" s="2"/>
      <c r="L55" s="2"/>
      <c r="M55" s="2"/>
      <c r="N55" s="2">
        <v>0</v>
      </c>
      <c r="O55" s="2">
        <v>0</v>
      </c>
      <c r="P55" s="9"/>
      <c r="Q55" s="2">
        <f>SUM(OSRRefD21_8_1x)+IFERROR(SUM(OSRRefE21_8_1x),0)</f>
        <v>-173.04</v>
      </c>
    </row>
    <row r="56" spans="1:17" s="34" customFormat="1" collapsed="1" x14ac:dyDescent="0.25">
      <c r="A56" s="35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SUM(OSRRefD21_9x_9)</f>
        <v>0</v>
      </c>
      <c r="N56" s="1">
        <f>SUM(OSRRefE21_9x_0)</f>
        <v>0</v>
      </c>
      <c r="O56" s="1">
        <f>SUM(OSRRefE21_9x_1)</f>
        <v>0</v>
      </c>
      <c r="Q56" s="2">
        <f>SUM(OSRRefD20_9x)+IFERROR(SUM(OSRRefE20_9x),0)</f>
        <v>0</v>
      </c>
    </row>
    <row r="57" spans="1:17" s="34" customFormat="1" hidden="1" outlineLevel="1" x14ac:dyDescent="0.25">
      <c r="A57" s="35"/>
      <c r="B57" s="10" t="str">
        <f>CONCATENATE("          ","6235", " - ","COVID-19 EXPENSES")</f>
        <v xml:space="preserve">          6235 - COVID-19 EXPENSES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4" customFormat="1" hidden="1" outlineLevel="1" x14ac:dyDescent="0.25">
      <c r="A58" s="35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SUM(OSRRefD21_9_1x)+IFERROR(SUM(OSRRefE21_9_1x),0)</f>
        <v>0</v>
      </c>
    </row>
    <row r="59" spans="1:17" s="34" customFormat="1" collapsed="1" x14ac:dyDescent="0.25">
      <c r="A59" s="35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91.01</v>
      </c>
      <c r="E59" s="1">
        <f>SUM(OSRRefD21_10x_1)</f>
        <v>91.01</v>
      </c>
      <c r="F59" s="1">
        <f>SUM(OSRRefD21_10x_2)</f>
        <v>-6.13</v>
      </c>
      <c r="G59" s="1">
        <f>SUM(OSRRefD21_10x_3)</f>
        <v>38.43</v>
      </c>
      <c r="H59" s="1">
        <f>SUM(OSRRefD21_10x_4)</f>
        <v>30</v>
      </c>
      <c r="I59" s="1">
        <f>SUM(OSRRefD21_10x_5)</f>
        <v>30</v>
      </c>
      <c r="J59" s="1">
        <f>SUM(OSRRefD21_10x_6)</f>
        <v>30</v>
      </c>
      <c r="K59" s="1">
        <f>SUM(OSRRefD21_10x_7)</f>
        <v>30</v>
      </c>
      <c r="L59" s="1">
        <f>SUM(OSRRefD21_10x_8)</f>
        <v>30</v>
      </c>
      <c r="M59" s="1">
        <f>SUM(OSRRefD21_10x_9)</f>
        <v>30</v>
      </c>
      <c r="N59" s="1">
        <f>SUM(OSRRefE21_10x_0)</f>
        <v>0</v>
      </c>
      <c r="O59" s="1">
        <f>SUM(OSRRefE21_10x_1)</f>
        <v>0</v>
      </c>
      <c r="Q59" s="2">
        <f>SUM(OSRRefD20_10x)+IFERROR(SUM(OSRRefE20_10x),0)</f>
        <v>394.32000000000005</v>
      </c>
    </row>
    <row r="60" spans="1:17" s="34" customFormat="1" hidden="1" outlineLevel="1" x14ac:dyDescent="0.25">
      <c r="A60" s="35"/>
      <c r="B60" s="10" t="str">
        <f>CONCATENATE("          ","6309", " - ","TELEPHONE")</f>
        <v xml:space="preserve">          6309 - TELEPHONE</v>
      </c>
      <c r="C60" s="11"/>
      <c r="D60" s="2">
        <v>91.01</v>
      </c>
      <c r="E60" s="2">
        <v>91.01</v>
      </c>
      <c r="F60" s="2">
        <v>-6.13</v>
      </c>
      <c r="G60" s="2">
        <v>38.43</v>
      </c>
      <c r="H60" s="2">
        <v>30</v>
      </c>
      <c r="I60" s="2">
        <v>30</v>
      </c>
      <c r="J60" s="2">
        <v>30</v>
      </c>
      <c r="K60" s="2">
        <v>30</v>
      </c>
      <c r="L60" s="2">
        <v>30</v>
      </c>
      <c r="M60" s="2">
        <v>30</v>
      </c>
      <c r="N60" s="2"/>
      <c r="O60" s="2"/>
      <c r="P60" s="9"/>
      <c r="Q60" s="2">
        <f>SUM(OSRRefD21_10_0x)+IFERROR(SUM(OSRRefE21_10_0x),0)</f>
        <v>394.32000000000005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3"/>
      <c r="B62" s="16" t="s">
        <v>291</v>
      </c>
      <c r="C62" s="22"/>
      <c r="D62" s="3">
        <f t="shared" ref="D62:M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>
        <f t="shared" si="3"/>
        <v>0</v>
      </c>
      <c r="L62" s="3">
        <f t="shared" si="3"/>
        <v>0</v>
      </c>
      <c r="M62" s="3">
        <f t="shared" si="3"/>
        <v>0</v>
      </c>
      <c r="N62" s="3"/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274</v>
      </c>
      <c r="C64" s="17"/>
      <c r="D64" s="8">
        <f t="shared" ref="D64:O64" si="4">IFERROR(+D16-D19+D62, 0)</f>
        <v>-347.4</v>
      </c>
      <c r="E64" s="8">
        <f t="shared" si="4"/>
        <v>-603.72</v>
      </c>
      <c r="F64" s="8">
        <f t="shared" si="4"/>
        <v>-630.27</v>
      </c>
      <c r="G64" s="8">
        <f t="shared" si="4"/>
        <v>-1206.6200000000001</v>
      </c>
      <c r="H64" s="8">
        <f t="shared" si="4"/>
        <v>-1914.84</v>
      </c>
      <c r="I64" s="8">
        <f t="shared" si="4"/>
        <v>-1548.05</v>
      </c>
      <c r="J64" s="8">
        <f t="shared" si="4"/>
        <v>-760.09999999999991</v>
      </c>
      <c r="K64" s="8">
        <f t="shared" si="4"/>
        <v>-760.09999999999991</v>
      </c>
      <c r="L64" s="8">
        <f t="shared" si="4"/>
        <v>-950.26</v>
      </c>
      <c r="M64" s="8">
        <f t="shared" si="4"/>
        <v>-770.02</v>
      </c>
      <c r="N64" s="8">
        <f t="shared" si="4"/>
        <v>0</v>
      </c>
      <c r="O64" s="8">
        <f t="shared" si="4"/>
        <v>0</v>
      </c>
      <c r="Q64" s="8">
        <f>IFERROR(+Q16-Q19+Q62, 0)</f>
        <v>-9491.380000000001</v>
      </c>
    </row>
    <row r="65" spans="1:17" s="6" customFormat="1" x14ac:dyDescent="0.2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7">
        <f t="shared" ref="D69:O69" si="6">IFERROR(+D64-D67, 0)</f>
        <v>-347.4</v>
      </c>
      <c r="E69" s="7">
        <f t="shared" si="6"/>
        <v>-603.72</v>
      </c>
      <c r="F69" s="7">
        <f t="shared" si="6"/>
        <v>-630.27</v>
      </c>
      <c r="G69" s="7">
        <f t="shared" si="6"/>
        <v>-1206.6200000000001</v>
      </c>
      <c r="H69" s="7">
        <f t="shared" si="6"/>
        <v>-1914.84</v>
      </c>
      <c r="I69" s="7">
        <f t="shared" si="6"/>
        <v>-1548.05</v>
      </c>
      <c r="J69" s="7">
        <f t="shared" si="6"/>
        <v>-760.09999999999991</v>
      </c>
      <c r="K69" s="7">
        <f t="shared" si="6"/>
        <v>-760.09999999999991</v>
      </c>
      <c r="L69" s="7">
        <f t="shared" si="6"/>
        <v>-950.26</v>
      </c>
      <c r="M69" s="7">
        <f t="shared" si="6"/>
        <v>-770.02</v>
      </c>
      <c r="N69" s="7">
        <f t="shared" si="6"/>
        <v>0</v>
      </c>
      <c r="O69" s="7">
        <f t="shared" si="6"/>
        <v>0</v>
      </c>
      <c r="Q69" s="7">
        <f>IFERROR(+Q64-Q67, 0)</f>
        <v>-9491.380000000001</v>
      </c>
    </row>
    <row r="70" spans="1:17" ht="15.75" thickTop="1" x14ac:dyDescent="0.2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292</v>
      </c>
      <c r="C73" s="17"/>
      <c r="D73" s="7">
        <f t="shared" ref="D73:O73" si="8">IFERROR(SUM(D69:D72), 0)</f>
        <v>-347.4</v>
      </c>
      <c r="E73" s="7">
        <f t="shared" si="8"/>
        <v>-603.72</v>
      </c>
      <c r="F73" s="7">
        <f t="shared" si="8"/>
        <v>-630.27</v>
      </c>
      <c r="G73" s="7">
        <f t="shared" si="8"/>
        <v>-1206.6200000000001</v>
      </c>
      <c r="H73" s="7">
        <f t="shared" si="8"/>
        <v>-1914.84</v>
      </c>
      <c r="I73" s="7">
        <f t="shared" si="8"/>
        <v>-1548.05</v>
      </c>
      <c r="J73" s="7">
        <f t="shared" si="8"/>
        <v>-760.09999999999991</v>
      </c>
      <c r="K73" s="7">
        <f t="shared" si="8"/>
        <v>-760.09999999999991</v>
      </c>
      <c r="L73" s="7">
        <f t="shared" si="8"/>
        <v>-950.26</v>
      </c>
      <c r="M73" s="7">
        <f t="shared" si="8"/>
        <v>-770.02</v>
      </c>
      <c r="N73" s="7">
        <f t="shared" si="8"/>
        <v>0</v>
      </c>
      <c r="O73" s="7">
        <f t="shared" si="8"/>
        <v>0</v>
      </c>
      <c r="Q73" s="7">
        <f>IFERROR(SUM(Q69:Q72), 0)</f>
        <v>-9491.380000000001</v>
      </c>
    </row>
    <row r="74" spans="1:17" ht="15.75" thickTop="1" x14ac:dyDescent="0.2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25">
      <c r="A75" s="5"/>
      <c r="B75" s="27">
        <v>44330.012769791669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25">
      <c r="A76" s="5"/>
      <c r="B76" s="31" t="s">
        <v>54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25">
      <c r="A77" s="5"/>
      <c r="B77" s="26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","4034", " - ","TAXABLE SALES-SODA")</f>
        <v xml:space="preserve">          4034 - TAXABLE SALES-SODA</v>
      </c>
      <c r="C11" s="22"/>
      <c r="D11" s="2">
        <f t="shared" ref="D11:M14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/>
      <c r="O11" s="2"/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","4132", " - ","NON-TAXABLE SALES-JUICE")</f>
        <v xml:space="preserve">          4132 - NON-TAXABLE SALES-JUICE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/>
      <c r="O12" s="2"/>
      <c r="Q12" s="2">
        <f>SUM(OSRRefD11_1x)+IFERROR(SUM(OSRRefE11_1x),0)</f>
        <v>0</v>
      </c>
    </row>
    <row r="13" spans="1:18" s="9" customFormat="1" hidden="1" outlineLevel="1" x14ac:dyDescent="0.25">
      <c r="A13" s="23"/>
      <c r="B13" s="10" t="str">
        <f>CONCATENATE("          ","4134", " - ","NON-TAXABLE SALES-SODA")</f>
        <v xml:space="preserve">          4134 - NON-TAXABLE SALES-SODA</v>
      </c>
      <c r="C13" s="22"/>
      <c r="D13" s="2">
        <f t="shared" si="0"/>
        <v>0</v>
      </c>
      <c r="E13" s="2">
        <f t="shared" si="0"/>
        <v>0</v>
      </c>
      <c r="F13" s="2">
        <f t="shared" si="0"/>
        <v>0</v>
      </c>
      <c r="G13" s="2">
        <f t="shared" si="0"/>
        <v>0</v>
      </c>
      <c r="H13" s="2">
        <f t="shared" si="0"/>
        <v>0</v>
      </c>
      <c r="I13" s="2">
        <f t="shared" si="0"/>
        <v>0</v>
      </c>
      <c r="J13" s="2">
        <f t="shared" si="0"/>
        <v>0</v>
      </c>
      <c r="K13" s="2">
        <f t="shared" si="0"/>
        <v>0</v>
      </c>
      <c r="L13" s="2">
        <f t="shared" si="0"/>
        <v>0</v>
      </c>
      <c r="M13" s="2">
        <f t="shared" si="0"/>
        <v>0</v>
      </c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3"/>
      <c r="B14" s="10" t="str">
        <f>CONCATENATE("          ","4137", " - ","NON-TAXABLE SALES-WATER")</f>
        <v xml:space="preserve">          4137 - NON-TAXABLE SALES-WATER</v>
      </c>
      <c r="C14" s="22"/>
      <c r="D14" s="2">
        <f t="shared" si="0"/>
        <v>0</v>
      </c>
      <c r="E14" s="2">
        <f t="shared" si="0"/>
        <v>0</v>
      </c>
      <c r="F14" s="2">
        <f t="shared" si="0"/>
        <v>0</v>
      </c>
      <c r="G14" s="2">
        <f t="shared" si="0"/>
        <v>0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>
        <f t="shared" si="0"/>
        <v>0</v>
      </c>
      <c r="L14" s="2">
        <f t="shared" si="0"/>
        <v>0</v>
      </c>
      <c r="M14" s="2">
        <f t="shared" si="0"/>
        <v>0</v>
      </c>
      <c r="N14" s="2"/>
      <c r="O14" s="2"/>
      <c r="Q14" s="2">
        <f>SUM(OSRRefD11_3x)+IFERROR(SUM(OSRRefE11_3x),0)</f>
        <v>0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0</v>
      </c>
      <c r="E16" s="3">
        <f>SUM(OSRRefD14x_1)</f>
        <v>-613.59</v>
      </c>
      <c r="F16" s="3">
        <f>SUM(OSRRefD14x_2)</f>
        <v>0</v>
      </c>
      <c r="G16" s="3">
        <f>SUM(OSRRefD14x_3)</f>
        <v>0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SUM(OSRRefD14x_9)</f>
        <v>0</v>
      </c>
      <c r="N16" s="3">
        <f>SUM(OSRRefE14x_0)</f>
        <v>0</v>
      </c>
      <c r="O16" s="3">
        <f>SUM(OSRRefE14x_1)</f>
        <v>0</v>
      </c>
      <c r="Q16" s="3">
        <f>SUM(OSRRefG14x)</f>
        <v>-613.59</v>
      </c>
    </row>
    <row r="17" spans="1:17" s="9" customFormat="1" hidden="1" outlineLevel="1" x14ac:dyDescent="0.25">
      <c r="A17" s="23"/>
      <c r="B17" s="10" t="str">
        <f>CONCATENATE("          ","5053", " - ","PURCHASES @ COST-FOOD")</f>
        <v xml:space="preserve">          5053 - PURCHASES @ COST-FOOD</v>
      </c>
      <c r="C17" s="22"/>
      <c r="D17" s="2"/>
      <c r="E17" s="2">
        <v>-613.59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SUM(OSRRefD14_0x)+IFERROR(SUM(OSRRefE14_0x),0)</f>
        <v>-613.59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8">
        <f t="shared" ref="D19:O19" si="1">IFERROR(+D10-D16, 0)</f>
        <v>0</v>
      </c>
      <c r="E19" s="8">
        <f t="shared" si="1"/>
        <v>613.59</v>
      </c>
      <c r="F19" s="8">
        <f t="shared" si="1"/>
        <v>0</v>
      </c>
      <c r="G19" s="8">
        <f t="shared" si="1"/>
        <v>0</v>
      </c>
      <c r="H19" s="8">
        <f t="shared" si="1"/>
        <v>0</v>
      </c>
      <c r="I19" s="8">
        <f t="shared" si="1"/>
        <v>0</v>
      </c>
      <c r="J19" s="8">
        <f t="shared" si="1"/>
        <v>0</v>
      </c>
      <c r="K19" s="8">
        <f t="shared" si="1"/>
        <v>0</v>
      </c>
      <c r="L19" s="8">
        <f t="shared" si="1"/>
        <v>0</v>
      </c>
      <c r="M19" s="8">
        <f t="shared" si="1"/>
        <v>0</v>
      </c>
      <c r="N19" s="8">
        <f t="shared" si="1"/>
        <v>0</v>
      </c>
      <c r="O19" s="8">
        <f t="shared" si="1"/>
        <v>0</v>
      </c>
      <c r="Q19" s="8">
        <f>IFERROR(+Q10-Q16, 0)</f>
        <v>613.59</v>
      </c>
    </row>
    <row r="20" spans="1:17" s="6" customFormat="1" x14ac:dyDescent="0.25">
      <c r="B20" s="16"/>
      <c r="C20" s="16"/>
      <c r="D20" s="4">
        <f t="shared" ref="D20:O20" si="2">IFERROR(D19/D10, 0)</f>
        <v>0</v>
      </c>
      <c r="E20" s="4">
        <f t="shared" si="2"/>
        <v>0</v>
      </c>
      <c r="F20" s="4">
        <f t="shared" si="2"/>
        <v>0</v>
      </c>
      <c r="G20" s="4">
        <f t="shared" si="2"/>
        <v>0</v>
      </c>
      <c r="H20" s="4">
        <f t="shared" si="2"/>
        <v>0</v>
      </c>
      <c r="I20" s="4">
        <f t="shared" si="2"/>
        <v>0</v>
      </c>
      <c r="J20" s="4">
        <f t="shared" si="2"/>
        <v>0</v>
      </c>
      <c r="K20" s="4">
        <f t="shared" si="2"/>
        <v>0</v>
      </c>
      <c r="L20" s="4">
        <f t="shared" si="2"/>
        <v>0</v>
      </c>
      <c r="M20" s="4">
        <f t="shared" si="2"/>
        <v>0</v>
      </c>
      <c r="N20" s="4">
        <f t="shared" si="2"/>
        <v>0</v>
      </c>
      <c r="O20" s="4">
        <f t="shared" si="2"/>
        <v>0</v>
      </c>
      <c r="P20" s="18"/>
      <c r="Q20" s="4">
        <f>IFERROR(Q19/Q10, 0)</f>
        <v>0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254</v>
      </c>
      <c r="C22" s="6"/>
      <c r="D22" s="14">
        <f>SUM(OSRRefD20x_0)</f>
        <v>9677.16</v>
      </c>
      <c r="E22" s="14">
        <f>SUM(OSRRefD20x_1)</f>
        <v>9678.07</v>
      </c>
      <c r="F22" s="14">
        <f>SUM(OSRRefD20x_2)</f>
        <v>9582.5499999999993</v>
      </c>
      <c r="G22" s="14">
        <f>SUM(OSRRefD20x_3)</f>
        <v>8727.58</v>
      </c>
      <c r="H22" s="14">
        <f>SUM(OSRRefD20x_4)</f>
        <v>6309.5499999999993</v>
      </c>
      <c r="I22" s="14">
        <f>SUM(OSRRefD20x_5)</f>
        <v>2286.9900000000002</v>
      </c>
      <c r="J22" s="14">
        <f>SUM(OSRRefD20x_6)</f>
        <v>80.17</v>
      </c>
      <c r="K22" s="14">
        <f>SUM(OSRRefD20x_7)</f>
        <v>162.61000000000001</v>
      </c>
      <c r="L22" s="14">
        <f>SUM(OSRRefD20x_8)</f>
        <v>144</v>
      </c>
      <c r="M22" s="14">
        <f>SUM(OSRRefD20x_9)</f>
        <v>102.28</v>
      </c>
      <c r="N22" s="14">
        <f>SUM(OSRRefE20x_0)</f>
        <v>175</v>
      </c>
      <c r="O22" s="14">
        <f>SUM(OSRRefE20x_1)</f>
        <v>175</v>
      </c>
      <c r="Q22" s="14">
        <f>SUM(OSRRefG20x)</f>
        <v>47100.959999999999</v>
      </c>
    </row>
    <row r="23" spans="1:17" s="34" customFormat="1" collapsed="1" x14ac:dyDescent="0.25">
      <c r="A23" s="35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4101.83</v>
      </c>
      <c r="E23" s="1">
        <f>SUM(OSRRefD21_0x_1)</f>
        <v>3925.4199999999996</v>
      </c>
      <c r="F23" s="1">
        <f>SUM(OSRRefD21_0x_2)</f>
        <v>3929.6699999999996</v>
      </c>
      <c r="G23" s="1">
        <f>SUM(OSRRefD21_0x_3)</f>
        <v>4181.12</v>
      </c>
      <c r="H23" s="1">
        <f>SUM(OSRRefD21_0x_4)</f>
        <v>3672.65</v>
      </c>
      <c r="I23" s="1">
        <f>SUM(OSRRefD21_0x_5)</f>
        <v>1976.89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0</v>
      </c>
      <c r="N23" s="1">
        <f>SUM(OSRRefE21_0x_0)</f>
        <v>175</v>
      </c>
      <c r="O23" s="1">
        <f>SUM(OSRRefE21_0x_1)</f>
        <v>175</v>
      </c>
      <c r="Q23" s="2">
        <f>SUM(OSRRefD20_0x)+IFERROR(SUM(OSRRefE20_0x),0)</f>
        <v>22137.58</v>
      </c>
    </row>
    <row r="24" spans="1:17" s="34" customFormat="1" hidden="1" outlineLevel="1" x14ac:dyDescent="0.25">
      <c r="A24" s="35"/>
      <c r="B24" s="10" t="str">
        <f>CONCATENATE("          ","6111", " - ","F.I.C.A.")</f>
        <v xml:space="preserve">          6111 - F.I.C.A.</v>
      </c>
      <c r="C24" s="11"/>
      <c r="D24" s="2">
        <v>383.82</v>
      </c>
      <c r="E24" s="2">
        <v>357.68</v>
      </c>
      <c r="F24" s="2">
        <v>357.68</v>
      </c>
      <c r="G24" s="2">
        <v>646.33000000000004</v>
      </c>
      <c r="H24" s="2">
        <v>178.84</v>
      </c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SUM(OSRRefD21_0_0x)+IFERROR(SUM(OSRRefE21_0_0x),0)</f>
        <v>1924.3500000000001</v>
      </c>
    </row>
    <row r="25" spans="1:17" s="34" customFormat="1" hidden="1" outlineLevel="1" x14ac:dyDescent="0.25">
      <c r="A25" s="35"/>
      <c r="B25" s="10" t="str">
        <f>CONCATENATE("          ","6112", " - ","COMPENSATION INSURANCE")</f>
        <v xml:space="preserve">          6112 - COMPENSATION INSURANCE</v>
      </c>
      <c r="C25" s="11"/>
      <c r="D25" s="2">
        <v>92.82</v>
      </c>
      <c r="E25" s="2">
        <v>86.5</v>
      </c>
      <c r="F25" s="2">
        <v>86.5</v>
      </c>
      <c r="G25" s="2">
        <v>86.5</v>
      </c>
      <c r="H25" s="2">
        <v>146.74</v>
      </c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SUM(OSRRefD21_0_1x)+IFERROR(SUM(OSRRefE21_0_1x),0)</f>
        <v>499.06</v>
      </c>
    </row>
    <row r="26" spans="1:17" s="34" customFormat="1" hidden="1" outlineLevel="1" x14ac:dyDescent="0.25">
      <c r="A26" s="35"/>
      <c r="B26" s="10" t="str">
        <f>CONCATENATE("          ","6113", " - ","GROUP INSURANCE")</f>
        <v xml:space="preserve">          6113 - GROUP INSURANCE</v>
      </c>
      <c r="C26" s="11"/>
      <c r="D26" s="2">
        <v>2021.26</v>
      </c>
      <c r="E26" s="2">
        <v>2021.26</v>
      </c>
      <c r="F26" s="2">
        <v>2021.26</v>
      </c>
      <c r="G26" s="2">
        <v>2021.26</v>
      </c>
      <c r="H26" s="2">
        <v>2021.26</v>
      </c>
      <c r="I26" s="2">
        <v>1976.89</v>
      </c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SUM(OSRRefD21_0_2x)+IFERROR(SUM(OSRRefE21_0_2x),0)</f>
        <v>12083.189999999999</v>
      </c>
    </row>
    <row r="27" spans="1:17" s="34" customFormat="1" hidden="1" outlineLevel="1" x14ac:dyDescent="0.25">
      <c r="A27" s="35"/>
      <c r="B27" s="10" t="str">
        <f>CONCATENATE("          ","6114", " - ","STATE UNEMPLOYMENT INSURANCE")</f>
        <v xml:space="preserve">          6114 - STATE UNEMPLOYMENT INSURANCE</v>
      </c>
      <c r="C27" s="11"/>
      <c r="D27" s="2">
        <v>13.04</v>
      </c>
      <c r="E27" s="2">
        <v>12.16</v>
      </c>
      <c r="F27" s="2">
        <v>12.16</v>
      </c>
      <c r="G27" s="2">
        <v>12.16</v>
      </c>
      <c r="H27" s="2">
        <v>20.62</v>
      </c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SUM(OSRRefD21_0_3x)+IFERROR(SUM(OSRRefE21_0_3x),0)</f>
        <v>70.14</v>
      </c>
    </row>
    <row r="28" spans="1:17" s="34" customFormat="1" hidden="1" outlineLevel="1" x14ac:dyDescent="0.25">
      <c r="A28" s="35"/>
      <c r="B28" s="10" t="str">
        <f>CONCATENATE("          ","6115", " - ","P.E.R.S.")</f>
        <v xml:space="preserve">          6115 - P.E.R.S.</v>
      </c>
      <c r="C28" s="11"/>
      <c r="D28" s="2">
        <v>921.09</v>
      </c>
      <c r="E28" s="2">
        <v>614.05999999999995</v>
      </c>
      <c r="F28" s="2">
        <v>614.05999999999995</v>
      </c>
      <c r="G28" s="2">
        <v>368.43</v>
      </c>
      <c r="H28" s="2">
        <v>973.28</v>
      </c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SUM(OSRRefD21_0_4x)+IFERROR(SUM(OSRRefE21_0_4x),0)</f>
        <v>3490.92</v>
      </c>
    </row>
    <row r="29" spans="1:17" s="34" customFormat="1" hidden="1" outlineLevel="1" x14ac:dyDescent="0.25">
      <c r="A29" s="35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4" customFormat="1" hidden="1" outlineLevel="1" x14ac:dyDescent="0.25">
      <c r="A30" s="35"/>
      <c r="B30" s="10" t="str">
        <f>CONCATENATE("          ","6118", " - ","VACATION")</f>
        <v xml:space="preserve">          6118 - VACATION</v>
      </c>
      <c r="C30" s="11"/>
      <c r="D30" s="2">
        <v>407.06</v>
      </c>
      <c r="E30" s="2">
        <v>407.06</v>
      </c>
      <c r="F30" s="2">
        <v>407.06</v>
      </c>
      <c r="G30" s="2">
        <v>610.59</v>
      </c>
      <c r="H30" s="2">
        <v>203.53</v>
      </c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SUM(OSRRefD21_0_6x)+IFERROR(SUM(OSRRefE21_0_6x),0)</f>
        <v>2035.3</v>
      </c>
    </row>
    <row r="31" spans="1:17" s="34" customFormat="1" hidden="1" outlineLevel="1" x14ac:dyDescent="0.25">
      <c r="A31" s="35"/>
      <c r="B31" s="10" t="str">
        <f>CONCATENATE("          ","6119", " - ","SICK LEAVE")</f>
        <v xml:space="preserve">          6119 - SICK LEAVE</v>
      </c>
      <c r="C31" s="11"/>
      <c r="D31" s="2">
        <v>256.76</v>
      </c>
      <c r="E31" s="2">
        <v>256.76</v>
      </c>
      <c r="F31" s="2">
        <v>256.76</v>
      </c>
      <c r="G31" s="2">
        <v>385.14</v>
      </c>
      <c r="H31" s="2">
        <v>128.38</v>
      </c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SUM(OSRRefD21_0_7x)+IFERROR(SUM(OSRRefE21_0_7x),0)</f>
        <v>1283.8000000000002</v>
      </c>
    </row>
    <row r="32" spans="1:17" s="34" customFormat="1" hidden="1" outlineLevel="1" x14ac:dyDescent="0.25">
      <c r="A32" s="35"/>
      <c r="B32" s="10" t="str">
        <f>CONCATENATE("          ","6156", " - ","EMPLOYEE MEALS")</f>
        <v xml:space="preserve">          6156 - EMPLOYEE MEALS</v>
      </c>
      <c r="C32" s="11"/>
      <c r="D32" s="2">
        <v>5.98</v>
      </c>
      <c r="E32" s="2">
        <v>169.94</v>
      </c>
      <c r="F32" s="2">
        <v>174.19</v>
      </c>
      <c r="G32" s="2">
        <v>50.71</v>
      </c>
      <c r="H32" s="2"/>
      <c r="I32" s="2"/>
      <c r="J32" s="2"/>
      <c r="K32" s="2"/>
      <c r="L32" s="2"/>
      <c r="M32" s="2"/>
      <c r="N32" s="2">
        <v>175</v>
      </c>
      <c r="O32" s="2">
        <v>175</v>
      </c>
      <c r="P32" s="9"/>
      <c r="Q32" s="2">
        <f>SUM(OSRRefD21_0_8x)+IFERROR(SUM(OSRRefE21_0_8x),0)</f>
        <v>750.81999999999994</v>
      </c>
    </row>
    <row r="33" spans="1:17" s="34" customFormat="1" collapsed="1" x14ac:dyDescent="0.25">
      <c r="A33" s="35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5393.03</v>
      </c>
      <c r="E33" s="1">
        <f>SUM(OSRRefD21_1x_1)</f>
        <v>5566.66</v>
      </c>
      <c r="F33" s="1">
        <f>SUM(OSRRefD21_1x_2)</f>
        <v>5392.7</v>
      </c>
      <c r="G33" s="1">
        <f>SUM(OSRRefD21_1x_3)</f>
        <v>4279.03</v>
      </c>
      <c r="H33" s="1">
        <f>SUM(OSRRefD21_1x_4)</f>
        <v>2505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SUM(OSRRefD21_1x_9)</f>
        <v>0</v>
      </c>
      <c r="N33" s="1">
        <f>SUM(OSRRefE21_1x_0)</f>
        <v>0</v>
      </c>
      <c r="O33" s="1">
        <f>SUM(OSRRefE21_1x_1)</f>
        <v>0</v>
      </c>
      <c r="Q33" s="2">
        <f>SUM(OSRRefD20_1x)+IFERROR(SUM(OSRRefE20_1x),0)</f>
        <v>23136.42</v>
      </c>
    </row>
    <row r="34" spans="1:17" s="34" customFormat="1" hidden="1" outlineLevel="1" x14ac:dyDescent="0.25">
      <c r="A34" s="35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4" customFormat="1" hidden="1" outlineLevel="1" x14ac:dyDescent="0.25">
      <c r="A35" s="35"/>
      <c r="B35" s="10" t="str">
        <f>CONCATENATE("          ","6002", " - ","STAFF SALARIES")</f>
        <v xml:space="preserve">          6002 - STAFF SALARIES</v>
      </c>
      <c r="C35" s="11"/>
      <c r="D35" s="2">
        <v>5393.03</v>
      </c>
      <c r="E35" s="2">
        <v>5566.66</v>
      </c>
      <c r="F35" s="2">
        <v>5392.7</v>
      </c>
      <c r="G35" s="2">
        <v>4279.03</v>
      </c>
      <c r="H35" s="2">
        <v>2505</v>
      </c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SUM(OSRRefD21_1_1x)+IFERROR(SUM(OSRRefE21_1_1x),0)</f>
        <v>23136.42</v>
      </c>
    </row>
    <row r="36" spans="1:17" s="34" customFormat="1" hidden="1" outlineLevel="1" x14ac:dyDescent="0.25">
      <c r="A36" s="35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4" customFormat="1" hidden="1" outlineLevel="1" x14ac:dyDescent="0.25">
      <c r="A37" s="35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SUM(OSRRefD21_1_3x)+IFERROR(SUM(OSRRefE21_1_3x),0)</f>
        <v>0</v>
      </c>
    </row>
    <row r="38" spans="1:17" s="34" customFormat="1" hidden="1" outlineLevel="1" x14ac:dyDescent="0.25">
      <c r="A38" s="35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SUM(OSRRefD21_1_4x)+IFERROR(SUM(OSRRefE21_1_4x),0)</f>
        <v>0</v>
      </c>
    </row>
    <row r="39" spans="1:17" s="34" customFormat="1" hidden="1" outlineLevel="1" x14ac:dyDescent="0.25">
      <c r="A39" s="35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4" customFormat="1" hidden="1" outlineLevel="1" x14ac:dyDescent="0.25">
      <c r="A40" s="35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SUM(OSRRefD21_1_6x)+IFERROR(SUM(OSRRefE21_1_6x),0)</f>
        <v>0</v>
      </c>
    </row>
    <row r="41" spans="1:17" s="34" customFormat="1" hidden="1" outlineLevel="1" x14ac:dyDescent="0.25">
      <c r="A41" s="35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SUM(OSRRefD21_1_7x)+IFERROR(SUM(OSRRefE21_1_7x),0)</f>
        <v>0</v>
      </c>
    </row>
    <row r="42" spans="1:17" s="34" customFormat="1" hidden="1" outlineLevel="1" x14ac:dyDescent="0.25">
      <c r="A42" s="35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4" customFormat="1" hidden="1" outlineLevel="1" x14ac:dyDescent="0.25">
      <c r="A43" s="35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SUM(OSRRefD21_2x_0)</f>
        <v>60</v>
      </c>
      <c r="E44" s="1">
        <f>SUM(OSRRefD21_2x_1)</f>
        <v>60</v>
      </c>
      <c r="F44" s="1">
        <f>SUM(OSRRefD21_2x_2)</f>
        <v>60</v>
      </c>
      <c r="G44" s="1">
        <f>SUM(OSRRefD21_2x_3)</f>
        <v>60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0</v>
      </c>
      <c r="L44" s="1">
        <f>SUM(OSRRefD21_2x_8)</f>
        <v>0</v>
      </c>
      <c r="M44" s="1">
        <f>SUM(OSRRefD21_2x_9)</f>
        <v>0</v>
      </c>
      <c r="N44" s="1">
        <f>SUM(OSRRefE21_2x_0)</f>
        <v>0</v>
      </c>
      <c r="O44" s="1">
        <f>SUM(OSRRefE21_2x_1)</f>
        <v>0</v>
      </c>
      <c r="Q44" s="2">
        <f>SUM(OSRRefD20_2x)+IFERROR(SUM(OSRRefE20_2x),0)</f>
        <v>240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>
        <v>60</v>
      </c>
      <c r="E45" s="2">
        <v>60</v>
      </c>
      <c r="F45" s="2">
        <v>60</v>
      </c>
      <c r="G45" s="2">
        <v>60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240</v>
      </c>
    </row>
    <row r="46" spans="1:17" s="34" customFormat="1" collapsed="1" x14ac:dyDescent="0.25">
      <c r="A46" s="35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SUM(OSRRefD21_3x_0)</f>
        <v>0</v>
      </c>
      <c r="E46" s="1">
        <f>SUM(OSRRefD21_3x_1)</f>
        <v>3.94</v>
      </c>
      <c r="F46" s="1">
        <f>SUM(OSRRefD21_3x_2)</f>
        <v>6.06</v>
      </c>
      <c r="G46" s="1">
        <f>SUM(OSRRefD21_3x_3)</f>
        <v>85.43</v>
      </c>
      <c r="H46" s="1">
        <f>SUM(OSRRefD21_3x_4)</f>
        <v>9.9</v>
      </c>
      <c r="I46" s="1">
        <f>SUM(OSRRefD21_3x_5)</f>
        <v>3.93</v>
      </c>
      <c r="J46" s="1">
        <f>SUM(OSRRefD21_3x_6)</f>
        <v>8.17</v>
      </c>
      <c r="K46" s="1">
        <f>SUM(OSRRefD21_3x_7)</f>
        <v>90.46</v>
      </c>
      <c r="L46" s="1">
        <f>SUM(OSRRefD21_3x_8)</f>
        <v>41.93</v>
      </c>
      <c r="M46" s="1">
        <f>SUM(OSRRefD21_3x_9)</f>
        <v>30.28</v>
      </c>
      <c r="N46" s="1">
        <f>SUM(OSRRefE21_3x_0)</f>
        <v>0</v>
      </c>
      <c r="O46" s="1">
        <f>SUM(OSRRefE21_3x_1)</f>
        <v>0</v>
      </c>
      <c r="Q46" s="2">
        <f>SUM(OSRRefD20_3x)+IFERROR(SUM(OSRRefE20_3x),0)</f>
        <v>280.10000000000002</v>
      </c>
    </row>
    <row r="47" spans="1:17" s="34" customFormat="1" hidden="1" outlineLevel="1" x14ac:dyDescent="0.25">
      <c r="A47" s="35"/>
      <c r="B47" s="10" t="str">
        <f>CONCATENATE("          ","6305", " - ","FREIGHT OUT")</f>
        <v xml:space="preserve">          6305 - FREIGHT OUT</v>
      </c>
      <c r="C47" s="11"/>
      <c r="D47" s="2"/>
      <c r="E47" s="2">
        <v>3.94</v>
      </c>
      <c r="F47" s="2">
        <v>6.06</v>
      </c>
      <c r="G47" s="2">
        <v>85.43</v>
      </c>
      <c r="H47" s="2">
        <v>9.9</v>
      </c>
      <c r="I47" s="2">
        <v>3.93</v>
      </c>
      <c r="J47" s="2">
        <v>8.17</v>
      </c>
      <c r="K47" s="2">
        <v>90.46</v>
      </c>
      <c r="L47" s="2">
        <v>41.93</v>
      </c>
      <c r="M47" s="2">
        <v>30.28</v>
      </c>
      <c r="N47" s="2"/>
      <c r="O47" s="2"/>
      <c r="P47" s="9"/>
      <c r="Q47" s="2">
        <f>SUM(OSRRefD21_3_0x)+IFERROR(SUM(OSRRefE21_3_0x),0)</f>
        <v>280.10000000000002</v>
      </c>
    </row>
    <row r="48" spans="1:17" s="34" customFormat="1" collapsed="1" x14ac:dyDescent="0.25">
      <c r="A48" s="35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SUM(OSRRefD21_4x_0)</f>
        <v>0</v>
      </c>
      <c r="E48" s="1">
        <f>SUM(OSRRefD21_4x_1)</f>
        <v>0</v>
      </c>
      <c r="F48" s="1">
        <f>SUM(OSRRefD21_4x_2)</f>
        <v>0</v>
      </c>
      <c r="G48" s="1">
        <f>SUM(OSRRefD21_4x_3)</f>
        <v>0</v>
      </c>
      <c r="H48" s="1">
        <f>SUM(OSRRefD21_4x_4)</f>
        <v>0</v>
      </c>
      <c r="I48" s="1">
        <f>SUM(OSRRefD21_4x_5)</f>
        <v>160</v>
      </c>
      <c r="J48" s="1">
        <f>SUM(OSRRefD21_4x_6)</f>
        <v>0</v>
      </c>
      <c r="K48" s="1">
        <f>SUM(OSRRefD21_4x_7)</f>
        <v>0</v>
      </c>
      <c r="L48" s="1">
        <f>SUM(OSRRefD21_4x_8)</f>
        <v>0</v>
      </c>
      <c r="M48" s="1">
        <f>SUM(OSRRefD21_4x_9)</f>
        <v>0</v>
      </c>
      <c r="N48" s="1">
        <f>SUM(OSRRefE21_4x_0)</f>
        <v>0</v>
      </c>
      <c r="O48" s="1">
        <f>SUM(OSRRefE21_4x_1)</f>
        <v>0</v>
      </c>
      <c r="Q48" s="2">
        <f>SUM(OSRRefD20_4x)+IFERROR(SUM(OSRRefE20_4x),0)</f>
        <v>160</v>
      </c>
    </row>
    <row r="49" spans="1:17" s="34" customFormat="1" hidden="1" outlineLevel="1" x14ac:dyDescent="0.25">
      <c r="A49" s="35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/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SUM(OSRRefD21_4_0x)+IFERROR(SUM(OSRRefE21_4_0x),0)</f>
        <v>160</v>
      </c>
    </row>
    <row r="50" spans="1:17" s="34" customFormat="1" collapsed="1" x14ac:dyDescent="0.25">
      <c r="A50" s="35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24.12</v>
      </c>
      <c r="G50" s="1">
        <f>SUM(OSRRefD21_5x_3)</f>
        <v>0</v>
      </c>
      <c r="H50" s="1">
        <f>SUM(OSRRefD21_5x_4)</f>
        <v>0</v>
      </c>
      <c r="I50" s="1">
        <f>SUM(OSRRefD21_5x_5)</f>
        <v>24.12</v>
      </c>
      <c r="J50" s="1">
        <f>SUM(OSRRefD21_5x_6)</f>
        <v>0</v>
      </c>
      <c r="K50" s="1">
        <f>SUM(OSRRefD21_5x_7)</f>
        <v>0</v>
      </c>
      <c r="L50" s="1">
        <f>SUM(OSRRefD21_5x_8)</f>
        <v>24.12</v>
      </c>
      <c r="M50" s="1">
        <f>SUM(OSRRefD21_5x_9)</f>
        <v>0</v>
      </c>
      <c r="N50" s="1">
        <f>SUM(OSRRefE21_5x_0)</f>
        <v>0</v>
      </c>
      <c r="O50" s="1">
        <f>SUM(OSRRefE21_5x_1)</f>
        <v>0</v>
      </c>
      <c r="Q50" s="2">
        <f>SUM(OSRRefD20_5x)+IFERROR(SUM(OSRRefE20_5x),0)</f>
        <v>72.36</v>
      </c>
    </row>
    <row r="51" spans="1:17" s="34" customFormat="1" hidden="1" outlineLevel="1" x14ac:dyDescent="0.25">
      <c r="A51" s="35"/>
      <c r="B51" s="10" t="str">
        <f>CONCATENATE("          ","6373", " - ","MAINTENANCE CONTRACTS")</f>
        <v xml:space="preserve">          6373 - MAINTENANCE CONTRACTS</v>
      </c>
      <c r="C51" s="11"/>
      <c r="D51" s="2"/>
      <c r="E51" s="2"/>
      <c r="F51" s="2">
        <v>24.12</v>
      </c>
      <c r="G51" s="2"/>
      <c r="H51" s="2"/>
      <c r="I51" s="2">
        <v>24.12</v>
      </c>
      <c r="J51" s="2"/>
      <c r="K51" s="2"/>
      <c r="L51" s="2">
        <v>24.12</v>
      </c>
      <c r="M51" s="2"/>
      <c r="N51" s="2"/>
      <c r="O51" s="2"/>
      <c r="P51" s="9"/>
      <c r="Q51" s="2">
        <f>SUM(OSRRefD21_5_0x)+IFERROR(SUM(OSRRefE21_5_0x),0)</f>
        <v>72.36</v>
      </c>
    </row>
    <row r="52" spans="1:17" s="34" customFormat="1" collapsed="1" x14ac:dyDescent="0.25">
      <c r="A52" s="35"/>
      <c r="B52" s="11" t="str">
        <f>CONCATENATE("     ","Telephone/Data Lines                              ")</f>
        <v xml:space="preserve">     Telephone/Data Lines                              </v>
      </c>
      <c r="C52" s="11"/>
      <c r="D52" s="1">
        <f>SUM(OSRRefD21_6x_0)</f>
        <v>122.3</v>
      </c>
      <c r="E52" s="1">
        <f>SUM(OSRRefD21_6x_1)</f>
        <v>122.05</v>
      </c>
      <c r="F52" s="1">
        <f>SUM(OSRRefD21_6x_2)</f>
        <v>170</v>
      </c>
      <c r="G52" s="1">
        <f>SUM(OSRRefD21_6x_3)</f>
        <v>122</v>
      </c>
      <c r="H52" s="1">
        <f>SUM(OSRRefD21_6x_4)</f>
        <v>122</v>
      </c>
      <c r="I52" s="1">
        <f>SUM(OSRRefD21_6x_5)</f>
        <v>122.05</v>
      </c>
      <c r="J52" s="1">
        <f>SUM(OSRRefD21_6x_6)</f>
        <v>72</v>
      </c>
      <c r="K52" s="1">
        <f>SUM(OSRRefD21_6x_7)</f>
        <v>72.150000000000006</v>
      </c>
      <c r="L52" s="1">
        <f>SUM(OSRRefD21_6x_8)</f>
        <v>77.95</v>
      </c>
      <c r="M52" s="1">
        <f>SUM(OSRRefD21_6x_9)</f>
        <v>72</v>
      </c>
      <c r="N52" s="1">
        <f>SUM(OSRRefE21_6x_0)</f>
        <v>0</v>
      </c>
      <c r="O52" s="1">
        <f>SUM(OSRRefE21_6x_1)</f>
        <v>0</v>
      </c>
      <c r="Q52" s="2">
        <f>SUM(OSRRefD20_6x)+IFERROR(SUM(OSRRefE20_6x),0)</f>
        <v>1074.5</v>
      </c>
    </row>
    <row r="53" spans="1:17" s="34" customFormat="1" hidden="1" outlineLevel="1" x14ac:dyDescent="0.25">
      <c r="A53" s="35"/>
      <c r="B53" s="10" t="str">
        <f>CONCATENATE("          ","6309", " - ","TELEPHONE")</f>
        <v xml:space="preserve">          6309 - TELEPHONE</v>
      </c>
      <c r="C53" s="11"/>
      <c r="D53" s="2">
        <v>122.3</v>
      </c>
      <c r="E53" s="2">
        <v>122.05</v>
      </c>
      <c r="F53" s="2">
        <v>170</v>
      </c>
      <c r="G53" s="2">
        <v>122</v>
      </c>
      <c r="H53" s="2">
        <v>122</v>
      </c>
      <c r="I53" s="2">
        <v>122.05</v>
      </c>
      <c r="J53" s="2">
        <v>72</v>
      </c>
      <c r="K53" s="2">
        <v>72.150000000000006</v>
      </c>
      <c r="L53" s="2">
        <v>77.95</v>
      </c>
      <c r="M53" s="2">
        <v>72</v>
      </c>
      <c r="N53" s="2"/>
      <c r="O53" s="2"/>
      <c r="P53" s="9"/>
      <c r="Q53" s="2">
        <f>SUM(OSRRefD21_6_0x)+IFERROR(SUM(OSRRefE21_6_0x),0)</f>
        <v>1074.5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3"/>
      <c r="B55" s="16" t="s">
        <v>291</v>
      </c>
      <c r="C55" s="22"/>
      <c r="D55" s="3">
        <f t="shared" ref="D55:M55" si="3">0</f>
        <v>0</v>
      </c>
      <c r="E55" s="3">
        <f t="shared" si="3"/>
        <v>0</v>
      </c>
      <c r="F55" s="3">
        <f t="shared" si="3"/>
        <v>0</v>
      </c>
      <c r="G55" s="3">
        <f t="shared" si="3"/>
        <v>0</v>
      </c>
      <c r="H55" s="3">
        <f t="shared" si="3"/>
        <v>0</v>
      </c>
      <c r="I55" s="3">
        <f t="shared" si="3"/>
        <v>0</v>
      </c>
      <c r="J55" s="3">
        <f t="shared" si="3"/>
        <v>0</v>
      </c>
      <c r="K55" s="3">
        <f t="shared" si="3"/>
        <v>0</v>
      </c>
      <c r="L55" s="3">
        <f t="shared" si="3"/>
        <v>0</v>
      </c>
      <c r="M55" s="3">
        <f t="shared" si="3"/>
        <v>0</v>
      </c>
      <c r="N55" s="3"/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274</v>
      </c>
      <c r="C57" s="17"/>
      <c r="D57" s="8">
        <f t="shared" ref="D57:O57" si="4">IFERROR(+D19-D22+D55, 0)</f>
        <v>-9677.16</v>
      </c>
      <c r="E57" s="8">
        <f t="shared" si="4"/>
        <v>-9064.48</v>
      </c>
      <c r="F57" s="8">
        <f t="shared" si="4"/>
        <v>-9582.5499999999993</v>
      </c>
      <c r="G57" s="8">
        <f t="shared" si="4"/>
        <v>-8727.58</v>
      </c>
      <c r="H57" s="8">
        <f t="shared" si="4"/>
        <v>-6309.5499999999993</v>
      </c>
      <c r="I57" s="8">
        <f t="shared" si="4"/>
        <v>-2286.9900000000002</v>
      </c>
      <c r="J57" s="8">
        <f t="shared" si="4"/>
        <v>-80.17</v>
      </c>
      <c r="K57" s="8">
        <f t="shared" si="4"/>
        <v>-162.61000000000001</v>
      </c>
      <c r="L57" s="8">
        <f t="shared" si="4"/>
        <v>-144</v>
      </c>
      <c r="M57" s="8">
        <f t="shared" si="4"/>
        <v>-102.28</v>
      </c>
      <c r="N57" s="8">
        <f t="shared" si="4"/>
        <v>-175</v>
      </c>
      <c r="O57" s="8">
        <f t="shared" si="4"/>
        <v>-175</v>
      </c>
      <c r="Q57" s="8">
        <f>IFERROR(+Q19-Q22+Q55, 0)</f>
        <v>-46487.37</v>
      </c>
    </row>
    <row r="58" spans="1:17" s="6" customFormat="1" x14ac:dyDescent="0.25">
      <c r="B58" s="16"/>
      <c r="C58" s="16"/>
      <c r="D58" s="4">
        <f t="shared" ref="D58:O58" si="5">IFERROR(D57/D10, 0)</f>
        <v>0</v>
      </c>
      <c r="E58" s="4">
        <f t="shared" si="5"/>
        <v>0</v>
      </c>
      <c r="F58" s="4">
        <f t="shared" si="5"/>
        <v>0</v>
      </c>
      <c r="G58" s="4">
        <f t="shared" si="5"/>
        <v>0</v>
      </c>
      <c r="H58" s="4">
        <f t="shared" si="5"/>
        <v>0</v>
      </c>
      <c r="I58" s="4">
        <f t="shared" si="5"/>
        <v>0</v>
      </c>
      <c r="J58" s="4">
        <f t="shared" si="5"/>
        <v>0</v>
      </c>
      <c r="K58" s="4">
        <f t="shared" si="5"/>
        <v>0</v>
      </c>
      <c r="L58" s="4">
        <f t="shared" si="5"/>
        <v>0</v>
      </c>
      <c r="M58" s="4">
        <f t="shared" si="5"/>
        <v>0</v>
      </c>
      <c r="N58" s="4">
        <f t="shared" si="5"/>
        <v>0</v>
      </c>
      <c r="O58" s="4">
        <f t="shared" si="5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7">
        <f t="shared" ref="D62:O62" si="6">IFERROR(+D57-D60, 0)</f>
        <v>-9677.16</v>
      </c>
      <c r="E62" s="7">
        <f t="shared" si="6"/>
        <v>-9064.48</v>
      </c>
      <c r="F62" s="7">
        <f t="shared" si="6"/>
        <v>-9582.5499999999993</v>
      </c>
      <c r="G62" s="7">
        <f t="shared" si="6"/>
        <v>-8727.58</v>
      </c>
      <c r="H62" s="7">
        <f t="shared" si="6"/>
        <v>-6309.5499999999993</v>
      </c>
      <c r="I62" s="7">
        <f t="shared" si="6"/>
        <v>-2286.9900000000002</v>
      </c>
      <c r="J62" s="7">
        <f t="shared" si="6"/>
        <v>-80.17</v>
      </c>
      <c r="K62" s="7">
        <f t="shared" si="6"/>
        <v>-162.61000000000001</v>
      </c>
      <c r="L62" s="7">
        <f t="shared" si="6"/>
        <v>-144</v>
      </c>
      <c r="M62" s="7">
        <f t="shared" si="6"/>
        <v>-102.28</v>
      </c>
      <c r="N62" s="7">
        <f t="shared" si="6"/>
        <v>-175</v>
      </c>
      <c r="O62" s="7">
        <f t="shared" si="6"/>
        <v>-175</v>
      </c>
      <c r="Q62" s="7">
        <f>IFERROR(+Q57-Q60, 0)</f>
        <v>-46487.37</v>
      </c>
    </row>
    <row r="63" spans="1:17" ht="15.75" thickTop="1" x14ac:dyDescent="0.25">
      <c r="A63" s="5"/>
      <c r="B63" s="5"/>
      <c r="C63" s="5"/>
      <c r="D63" s="4">
        <f t="shared" ref="D63:O63" si="7">IFERROR(D62/D10, 0)</f>
        <v>0</v>
      </c>
      <c r="E63" s="4">
        <f t="shared" si="7"/>
        <v>0</v>
      </c>
      <c r="F63" s="4">
        <f t="shared" si="7"/>
        <v>0</v>
      </c>
      <c r="G63" s="4">
        <f t="shared" si="7"/>
        <v>0</v>
      </c>
      <c r="H63" s="4">
        <f t="shared" si="7"/>
        <v>0</v>
      </c>
      <c r="I63" s="4">
        <f t="shared" si="7"/>
        <v>0</v>
      </c>
      <c r="J63" s="4">
        <f t="shared" si="7"/>
        <v>0</v>
      </c>
      <c r="K63" s="4">
        <f t="shared" si="7"/>
        <v>0</v>
      </c>
      <c r="L63" s="4">
        <f t="shared" si="7"/>
        <v>0</v>
      </c>
      <c r="M63" s="4">
        <f t="shared" si="7"/>
        <v>0</v>
      </c>
      <c r="N63" s="4">
        <f t="shared" si="7"/>
        <v>0</v>
      </c>
      <c r="O63" s="4">
        <f t="shared" si="7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292</v>
      </c>
      <c r="C66" s="17"/>
      <c r="D66" s="7">
        <f t="shared" ref="D66:O66" si="8">IFERROR(SUM(D62:D65), 0)</f>
        <v>-9677.16</v>
      </c>
      <c r="E66" s="7">
        <f t="shared" si="8"/>
        <v>-9064.48</v>
      </c>
      <c r="F66" s="7">
        <f t="shared" si="8"/>
        <v>-9582.5499999999993</v>
      </c>
      <c r="G66" s="7">
        <f t="shared" si="8"/>
        <v>-8727.58</v>
      </c>
      <c r="H66" s="7">
        <f t="shared" si="8"/>
        <v>-6309.5499999999993</v>
      </c>
      <c r="I66" s="7">
        <f t="shared" si="8"/>
        <v>-2286.9900000000002</v>
      </c>
      <c r="J66" s="7">
        <f t="shared" si="8"/>
        <v>-80.17</v>
      </c>
      <c r="K66" s="7">
        <f t="shared" si="8"/>
        <v>-162.61000000000001</v>
      </c>
      <c r="L66" s="7">
        <f t="shared" si="8"/>
        <v>-144</v>
      </c>
      <c r="M66" s="7">
        <f t="shared" si="8"/>
        <v>-102.28</v>
      </c>
      <c r="N66" s="7">
        <f t="shared" si="8"/>
        <v>-175</v>
      </c>
      <c r="O66" s="7">
        <f t="shared" si="8"/>
        <v>-175</v>
      </c>
      <c r="Q66" s="7">
        <f>IFERROR(SUM(Q62:Q65), 0)</f>
        <v>-46487.37</v>
      </c>
    </row>
    <row r="67" spans="1:17" ht="15.75" thickTop="1" x14ac:dyDescent="0.25">
      <c r="A67" s="5"/>
      <c r="C67" s="5"/>
      <c r="D67" s="4">
        <f t="shared" ref="D67:O67" si="9">IFERROR(D66/D10, 0)</f>
        <v>0</v>
      </c>
      <c r="E67" s="4">
        <f t="shared" si="9"/>
        <v>0</v>
      </c>
      <c r="F67" s="4">
        <f t="shared" si="9"/>
        <v>0</v>
      </c>
      <c r="G67" s="4">
        <f t="shared" si="9"/>
        <v>0</v>
      </c>
      <c r="H67" s="4">
        <f t="shared" si="9"/>
        <v>0</v>
      </c>
      <c r="I67" s="4">
        <f t="shared" si="9"/>
        <v>0</v>
      </c>
      <c r="J67" s="4">
        <f t="shared" si="9"/>
        <v>0</v>
      </c>
      <c r="K67" s="4">
        <f t="shared" si="9"/>
        <v>0</v>
      </c>
      <c r="L67" s="4">
        <f t="shared" si="9"/>
        <v>0</v>
      </c>
      <c r="M67" s="4">
        <f t="shared" si="9"/>
        <v>0</v>
      </c>
      <c r="N67" s="4">
        <f t="shared" si="9"/>
        <v>0</v>
      </c>
      <c r="O67" s="4">
        <f t="shared" si="9"/>
        <v>0</v>
      </c>
      <c r="P67" s="18"/>
      <c r="Q67" s="4">
        <f>IFERROR(Q66/Q10, 0)</f>
        <v>0</v>
      </c>
    </row>
    <row r="68" spans="1:17" x14ac:dyDescent="0.25">
      <c r="A68" s="5"/>
      <c r="B68" s="27">
        <v>44330.012769791669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31" t="s">
        <v>54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A70" s="5"/>
      <c r="B70" s="26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25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","321", " - ", "Corner Market")</f>
        <v>Department 321 - Corner Market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25">
      <c r="A11" s="23"/>
      <c r="B11" s="10" t="str">
        <f>CONCATENATE("          ","4032", " - ","TAXABLE SALES-JUICE")</f>
        <v xml:space="preserve">          4032 - TAXABLE SALES-JUICE</v>
      </c>
      <c r="C11" s="22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M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3"/>
      <c r="B12" s="10" t="str">
        <f>CONCATENATE("          ","4132", " - ","NON-TAXABLE SALES-JUICE")</f>
        <v xml:space="preserve">          4132 - NON-TAXABLE SALES-JUICE</v>
      </c>
      <c r="C12" s="22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/>
      <c r="O12" s="2"/>
      <c r="Q12" s="2">
        <f>SUM(OSRRefD11_1x)+IFERROR(SUM(OSRRefE11_1x),0)</f>
        <v>2031.8799999999999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SUM(OSRRefD14x_7)</f>
        <v>19579</v>
      </c>
      <c r="L14" s="3">
        <f>SUM(OSRRefD14x_8)</f>
        <v>0</v>
      </c>
      <c r="M14" s="3">
        <f>SUM(OSRRefD14x_9)</f>
        <v>0</v>
      </c>
      <c r="N14" s="3">
        <f>SUM(OSRRefE14x_0)</f>
        <v>0</v>
      </c>
      <c r="O14" s="3">
        <f>SUM(OSRRefE14x_1)</f>
        <v>0</v>
      </c>
      <c r="Q14" s="3">
        <f>SUM(OSRRefG14x)</f>
        <v>19579.73</v>
      </c>
    </row>
    <row r="15" spans="1:18" s="9" customFormat="1" hidden="1" outlineLevel="1" x14ac:dyDescent="0.25">
      <c r="A15" s="23"/>
      <c r="B15" s="10" t="str">
        <f>CONCATENATE("          ","5053", " - ","PURCHASES @ COST-FOOD")</f>
        <v xml:space="preserve">          5053 - PURCHASES @ COST-FOOD</v>
      </c>
      <c r="C15" s="22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/>
      <c r="Q15" s="2">
        <f>SUM(OSRRefD14_0x)+IFERROR(SUM(OSRRefE14_0x),0)</f>
        <v>0.73000000000001819</v>
      </c>
    </row>
    <row r="16" spans="1:18" s="9" customFormat="1" hidden="1" outlineLevel="1" x14ac:dyDescent="0.25">
      <c r="A16" s="23"/>
      <c r="B16" s="10" t="str">
        <f>CONCATENATE("          ","5059", " - ","PURCHASES @ COST-FOOD")</f>
        <v xml:space="preserve">          5059 - PURCHASES @ COST-FOOD</v>
      </c>
      <c r="C16" s="22"/>
      <c r="D16" s="2"/>
      <c r="E16" s="2"/>
      <c r="F16" s="2"/>
      <c r="G16" s="2"/>
      <c r="H16" s="2"/>
      <c r="I16" s="2"/>
      <c r="J16" s="2"/>
      <c r="K16" s="2">
        <v>19579</v>
      </c>
      <c r="L16" s="2"/>
      <c r="M16" s="2"/>
      <c r="N16" s="2"/>
      <c r="O16" s="2"/>
      <c r="Q16" s="2">
        <f>SUM(OSRRefD14_1x)+IFERROR(SUM(OSRRefE14_1x),0)</f>
        <v>19579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2">IFERROR(+D10-D14, 0)</f>
        <v>0</v>
      </c>
      <c r="E18" s="8">
        <f t="shared" si="2"/>
        <v>527.66999999999996</v>
      </c>
      <c r="F18" s="8">
        <f t="shared" si="2"/>
        <v>1709.3199999999997</v>
      </c>
      <c r="G18" s="8">
        <f t="shared" si="2"/>
        <v>478</v>
      </c>
      <c r="H18" s="8">
        <f t="shared" si="2"/>
        <v>0</v>
      </c>
      <c r="I18" s="8">
        <f t="shared" si="2"/>
        <v>-497</v>
      </c>
      <c r="J18" s="8">
        <f t="shared" si="2"/>
        <v>257.75</v>
      </c>
      <c r="K18" s="8">
        <f t="shared" si="2"/>
        <v>-19579</v>
      </c>
      <c r="L18" s="8">
        <f t="shared" si="2"/>
        <v>0</v>
      </c>
      <c r="M18" s="8">
        <f t="shared" si="2"/>
        <v>0</v>
      </c>
      <c r="N18" s="8">
        <f t="shared" si="2"/>
        <v>0</v>
      </c>
      <c r="O18" s="8">
        <f t="shared" si="2"/>
        <v>0</v>
      </c>
      <c r="Q18" s="8">
        <f>IFERROR(+Q10-Q14, 0)</f>
        <v>-17103.259999999998</v>
      </c>
    </row>
    <row r="19" spans="1:17" s="6" customFormat="1" x14ac:dyDescent="0.25">
      <c r="B19" s="16"/>
      <c r="C19" s="16"/>
      <c r="D19" s="4">
        <f t="shared" ref="D19:O19" si="3">IFERROR(D18/D10, 0)</f>
        <v>0</v>
      </c>
      <c r="E19" s="4">
        <f t="shared" si="3"/>
        <v>0.7390336134453781</v>
      </c>
      <c r="F19" s="4">
        <f t="shared" si="3"/>
        <v>0.9698434583283686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-6.9063061535169012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4">
        <f>SUM(OSRRefD20x_0)</f>
        <v>5571.05</v>
      </c>
      <c r="E21" s="14">
        <f>SUM(OSRRefD20x_1)</f>
        <v>8104.16</v>
      </c>
      <c r="F21" s="14">
        <f>SUM(OSRRefD20x_2)</f>
        <v>9141.6200000000026</v>
      </c>
      <c r="G21" s="14">
        <f>SUM(OSRRefD20x_3)</f>
        <v>4859.6699999999992</v>
      </c>
      <c r="H21" s="14">
        <f>SUM(OSRRefD20x_4)</f>
        <v>4495.3099999999995</v>
      </c>
      <c r="I21" s="14">
        <f>SUM(OSRRefD20x_5)</f>
        <v>3005.98</v>
      </c>
      <c r="J21" s="14">
        <f>SUM(OSRRefD20x_6)</f>
        <v>979.82999999999993</v>
      </c>
      <c r="K21" s="14">
        <f>SUM(OSRRefD20x_7)</f>
        <v>1401.82</v>
      </c>
      <c r="L21" s="14">
        <f>SUM(OSRRefD20x_8)</f>
        <v>2096.42</v>
      </c>
      <c r="M21" s="14">
        <f>SUM(OSRRefD20x_9)</f>
        <v>1401.82</v>
      </c>
      <c r="N21" s="14">
        <f>SUM(OSRRefE20x_0)</f>
        <v>1200</v>
      </c>
      <c r="O21" s="14">
        <f>SUM(OSRRefE20x_1)</f>
        <v>1200</v>
      </c>
      <c r="Q21" s="14">
        <f>SUM(OSRRefG20x)</f>
        <v>43457.679999999993</v>
      </c>
    </row>
    <row r="22" spans="1:17" s="34" customFormat="1" collapsed="1" x14ac:dyDescent="0.25">
      <c r="A22" s="35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407.67999999999995</v>
      </c>
      <c r="E22" s="1">
        <f>SUM(OSRRefD21_0x_1)</f>
        <v>2017.6599999999999</v>
      </c>
      <c r="F22" s="1">
        <f>SUM(OSRRefD21_0x_2)</f>
        <v>2095.62</v>
      </c>
      <c r="G22" s="1">
        <f>SUM(OSRRefD21_0x_3)</f>
        <v>2222.1799999999998</v>
      </c>
      <c r="H22" s="1">
        <f>SUM(OSRRefD21_0x_4)</f>
        <v>1358.35</v>
      </c>
      <c r="I22" s="1">
        <f>SUM(OSRRefD21_0x_5)</f>
        <v>650.5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SUM(OSRRefE21_0x_0)</f>
        <v>0</v>
      </c>
      <c r="O22" s="1">
        <f>SUM(OSRRefE21_0x_1)</f>
        <v>0</v>
      </c>
      <c r="Q22" s="2">
        <f>SUM(OSRRefD20_0x)+IFERROR(SUM(OSRRefE20_0x),0)</f>
        <v>8751.99</v>
      </c>
    </row>
    <row r="23" spans="1:17" s="34" customFormat="1" hidden="1" outlineLevel="1" x14ac:dyDescent="0.25">
      <c r="A23" s="35"/>
      <c r="B23" s="10" t="str">
        <f>CONCATENATE("          ","6111", " - ","F.I.C.A.")</f>
        <v xml:space="preserve">          6111 - F.I.C.A.</v>
      </c>
      <c r="C23" s="11"/>
      <c r="D23" s="2">
        <v>159.12</v>
      </c>
      <c r="E23" s="2">
        <v>318.24</v>
      </c>
      <c r="F23" s="2">
        <v>454.71</v>
      </c>
      <c r="G23" s="2">
        <v>575.9</v>
      </c>
      <c r="H23" s="2">
        <v>159.12</v>
      </c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SUM(OSRRefD21_0_0x)+IFERROR(SUM(OSRRefE21_0_0x),0)</f>
        <v>1667.0899999999997</v>
      </c>
    </row>
    <row r="24" spans="1:17" s="34" customFormat="1" hidden="1" outlineLevel="1" x14ac:dyDescent="0.25">
      <c r="A24" s="35"/>
      <c r="B24" s="10" t="str">
        <f>CONCATENATE("          ","6112", " - ","COMPENSATION INSURANCE")</f>
        <v xml:space="preserve">          6112 - COMPENSATION INSURANCE</v>
      </c>
      <c r="C24" s="11"/>
      <c r="D24" s="2">
        <v>76.959999999999994</v>
      </c>
      <c r="E24" s="2">
        <v>76.959999999999994</v>
      </c>
      <c r="F24" s="2">
        <v>76.959999999999994</v>
      </c>
      <c r="G24" s="2">
        <v>76.959999999999994</v>
      </c>
      <c r="H24" s="2">
        <v>23.77</v>
      </c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SUM(OSRRefD21_0_1x)+IFERROR(SUM(OSRRefE21_0_1x),0)</f>
        <v>331.60999999999996</v>
      </c>
    </row>
    <row r="25" spans="1:17" s="34" customFormat="1" hidden="1" outlineLevel="1" x14ac:dyDescent="0.25">
      <c r="A25" s="35"/>
      <c r="B25" s="10" t="str">
        <f>CONCATENATE("          ","6113", " - ","GROUP INSURANCE")</f>
        <v xml:space="preserve">          6113 - GROUP INSURANCE</v>
      </c>
      <c r="C25" s="11"/>
      <c r="D25" s="2"/>
      <c r="E25" s="2">
        <v>683.68</v>
      </c>
      <c r="F25" s="2">
        <v>683.68</v>
      </c>
      <c r="G25" s="2">
        <v>683.68</v>
      </c>
      <c r="H25" s="2">
        <v>683.68</v>
      </c>
      <c r="I25" s="2">
        <v>650.5</v>
      </c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SUM(OSRRefD21_0_2x)+IFERROR(SUM(OSRRefE21_0_2x),0)</f>
        <v>3385.22</v>
      </c>
    </row>
    <row r="26" spans="1:17" s="34" customFormat="1" hidden="1" outlineLevel="1" x14ac:dyDescent="0.25">
      <c r="A26" s="35"/>
      <c r="B26" s="10" t="str">
        <f>CONCATENATE("          ","6114", " - ","STATE UNEMPLOYMENT INSURANCE")</f>
        <v xml:space="preserve">          6114 - STATE UNEMPLOYMENT INSURANCE</v>
      </c>
      <c r="C26" s="11"/>
      <c r="D26" s="2">
        <v>10.82</v>
      </c>
      <c r="E26" s="2">
        <v>10.82</v>
      </c>
      <c r="F26" s="2">
        <v>10.82</v>
      </c>
      <c r="G26" s="2">
        <v>10.82</v>
      </c>
      <c r="H26" s="2">
        <v>18.73</v>
      </c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SUM(OSRRefD21_0_3x)+IFERROR(SUM(OSRRefE21_0_3x),0)</f>
        <v>62.010000000000005</v>
      </c>
    </row>
    <row r="27" spans="1:17" s="34" customFormat="1" hidden="1" outlineLevel="1" x14ac:dyDescent="0.25">
      <c r="A27" s="35"/>
      <c r="B27" s="10" t="str">
        <f>CONCATENATE("          ","6115", " - ","P.E.R.S.")</f>
        <v xml:space="preserve">          6115 - P.E.R.S.</v>
      </c>
      <c r="C27" s="11"/>
      <c r="D27" s="2">
        <v>160.78</v>
      </c>
      <c r="E27" s="2">
        <v>321.57</v>
      </c>
      <c r="F27" s="2">
        <v>321.57</v>
      </c>
      <c r="G27" s="2">
        <v>192.94</v>
      </c>
      <c r="H27" s="2">
        <v>257.25</v>
      </c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SUM(OSRRefD21_0_4x)+IFERROR(SUM(OSRRefE21_0_4x),0)</f>
        <v>1254.1100000000001</v>
      </c>
    </row>
    <row r="28" spans="1:17" s="34" customFormat="1" hidden="1" outlineLevel="1" x14ac:dyDescent="0.25">
      <c r="A28" s="35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25">
      <c r="A29" s="35"/>
      <c r="B29" s="10" t="str">
        <f>CONCATENATE("          ","6118", " - ","VACATION")</f>
        <v xml:space="preserve">          6118 - VACATION</v>
      </c>
      <c r="C29" s="11"/>
      <c r="D29" s="2"/>
      <c r="E29" s="2">
        <v>239.72</v>
      </c>
      <c r="F29" s="2">
        <v>239.72</v>
      </c>
      <c r="G29" s="2">
        <v>359.58</v>
      </c>
      <c r="H29" s="2">
        <v>119.86</v>
      </c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SUM(OSRRefD21_0_6x)+IFERROR(SUM(OSRRefE21_0_6x),0)</f>
        <v>958.88</v>
      </c>
    </row>
    <row r="30" spans="1:17" s="34" customFormat="1" hidden="1" outlineLevel="1" x14ac:dyDescent="0.25">
      <c r="A30" s="35"/>
      <c r="B30" s="10" t="str">
        <f>CONCATENATE("          ","6119", " - ","SICK LEAVE")</f>
        <v xml:space="preserve">          6119 - SICK LEAVE</v>
      </c>
      <c r="C30" s="11"/>
      <c r="D30" s="2"/>
      <c r="E30" s="2">
        <v>191.88</v>
      </c>
      <c r="F30" s="2">
        <v>191.88</v>
      </c>
      <c r="G30" s="2">
        <v>287.82</v>
      </c>
      <c r="H30" s="2">
        <v>95.94</v>
      </c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SUM(OSRRefD21_0_7x)+IFERROR(SUM(OSRRefE21_0_7x),0)</f>
        <v>767.52</v>
      </c>
    </row>
    <row r="31" spans="1:17" s="34" customFormat="1" hidden="1" outlineLevel="1" x14ac:dyDescent="0.25">
      <c r="A31" s="35"/>
      <c r="B31" s="10" t="str">
        <f>CONCATENATE("          ","6156", " - ","EMPLOYEE MEALS")</f>
        <v xml:space="preserve">          6156 - EMPLOYEE MEALS</v>
      </c>
      <c r="C31" s="11"/>
      <c r="D31" s="2"/>
      <c r="E31" s="2">
        <v>174.79</v>
      </c>
      <c r="F31" s="2">
        <v>116.28</v>
      </c>
      <c r="G31" s="2">
        <v>34.479999999999997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SUM(OSRRefD21_0_8x)+IFERROR(SUM(OSRRefE21_0_8x),0)</f>
        <v>325.55</v>
      </c>
    </row>
    <row r="32" spans="1:17" s="34" customFormat="1" collapsed="1" x14ac:dyDescent="0.25">
      <c r="A32" s="35"/>
      <c r="B32" s="11" t="str">
        <f>CONCATENATE("     ","*Payroll                                          ")</f>
        <v xml:space="preserve">     *Payroll                                          </v>
      </c>
      <c r="C32" s="11"/>
      <c r="D32" s="1">
        <f>SUM(OSRRefD21_1x_0)</f>
        <v>3120</v>
      </c>
      <c r="E32" s="1">
        <f>SUM(OSRRefD21_1x_1)</f>
        <v>4607</v>
      </c>
      <c r="F32" s="1">
        <f>SUM(OSRRefD21_1x_2)</f>
        <v>5429.1</v>
      </c>
      <c r="G32" s="1">
        <f>SUM(OSRRefD21_1x_3)</f>
        <v>1039.8600000000001</v>
      </c>
      <c r="H32" s="1">
        <f>SUM(OSRRefD21_1x_4)</f>
        <v>1664</v>
      </c>
      <c r="I32" s="1">
        <f>SUM(OSRRefD21_1x_5)</f>
        <v>0</v>
      </c>
      <c r="J32" s="1">
        <f>SUM(OSRRefD21_1x_6)</f>
        <v>0</v>
      </c>
      <c r="K32" s="1">
        <f>SUM(OSRRefD21_1x_7)</f>
        <v>0</v>
      </c>
      <c r="L32" s="1">
        <f>SUM(OSRRefD21_1x_8)</f>
        <v>0</v>
      </c>
      <c r="M32" s="1">
        <f>SUM(OSRRefD21_1x_9)</f>
        <v>0</v>
      </c>
      <c r="N32" s="1">
        <f>SUM(OSRRefE21_1x_0)</f>
        <v>0</v>
      </c>
      <c r="O32" s="1">
        <f>SUM(OSRRefE21_1x_1)</f>
        <v>0</v>
      </c>
      <c r="Q32" s="2">
        <f>SUM(OSRRefD20_1x)+IFERROR(SUM(OSRRefE20_1x),0)</f>
        <v>15859.960000000001</v>
      </c>
    </row>
    <row r="33" spans="1:17" s="34" customFormat="1" hidden="1" outlineLevel="1" x14ac:dyDescent="0.25">
      <c r="A33" s="35"/>
      <c r="B33" s="10" t="str">
        <f>CONCATENATE("          ","6001", " - ","ADMINISTRATIVE SALARIES")</f>
        <v xml:space="preserve">          6001 - ADMINISTRATIVE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0" t="str">
        <f>CONCATENATE("          ","6002", " - ","STAFF SALARIES")</f>
        <v xml:space="preserve">          6002 - STAFF SALARIES</v>
      </c>
      <c r="C34" s="11"/>
      <c r="D34" s="2">
        <v>3120</v>
      </c>
      <c r="E34" s="2">
        <v>3952</v>
      </c>
      <c r="F34" s="2">
        <v>3952</v>
      </c>
      <c r="G34" s="2">
        <v>1040</v>
      </c>
      <c r="H34" s="2">
        <v>1664</v>
      </c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SUM(OSRRefD21_1_1x)+IFERROR(SUM(OSRRefE21_1_1x),0)</f>
        <v>13728</v>
      </c>
    </row>
    <row r="35" spans="1:17" s="34" customFormat="1" hidden="1" outlineLevel="1" x14ac:dyDescent="0.25">
      <c r="A35" s="35"/>
      <c r="B35" s="10" t="str">
        <f>CONCATENATE("          ","6003", " - ","STAFF HOURLY-9 MONTH")</f>
        <v xml:space="preserve">          6003 - STAFF HOURLY-9 MONTH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0" t="str">
        <f>CONCATENATE("          ","6004", " - ","STAFF HOURLY")</f>
        <v xml:space="preserve">          6004 - STAFF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4" customFormat="1" hidden="1" outlineLevel="1" x14ac:dyDescent="0.25">
      <c r="A37" s="35"/>
      <c r="B37" s="10" t="str">
        <f>CONCATENATE("          ","6005", " - ","TEMPORARY WAGES-HOURLY")</f>
        <v xml:space="preserve">          6005 - TEMPORARY WAGES-HOURLY</v>
      </c>
      <c r="C37" s="11"/>
      <c r="D37" s="2"/>
      <c r="E37" s="2"/>
      <c r="F37" s="2">
        <v>1784.1</v>
      </c>
      <c r="G37" s="2">
        <v>347.86</v>
      </c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SUM(OSRRefD21_1_4x)+IFERROR(SUM(OSRRefE21_1_4x),0)</f>
        <v>2131.96</v>
      </c>
    </row>
    <row r="38" spans="1:17" s="34" customFormat="1" hidden="1" outlineLevel="1" x14ac:dyDescent="0.25">
      <c r="A38" s="35"/>
      <c r="B38" s="10" t="str">
        <f>CONCATENATE("          ","6006", " - ","TEMPORARY PART TIME")</f>
        <v xml:space="preserve">          6006 - TEMPORARY PART TIME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0" t="str">
        <f>CONCATENATE("          ","6007", " - ","STUDENT HOURLY")</f>
        <v xml:space="preserve">          6007 - STUDENT HOURLY</v>
      </c>
      <c r="C39" s="11"/>
      <c r="D39" s="2"/>
      <c r="E39" s="2">
        <v>655</v>
      </c>
      <c r="F39" s="2">
        <v>-307</v>
      </c>
      <c r="G39" s="2">
        <v>-348</v>
      </c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25">
      <c r="A40" s="35"/>
      <c r="B40" s="10" t="str">
        <f>CONCATENATE("          ","6008", " - ","STUDENT HOURLY-FICA EXEMPT")</f>
        <v xml:space="preserve">          6008 - STUDENT HOURLY-FICA EXEMPT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4" customFormat="1" hidden="1" outlineLevel="1" x14ac:dyDescent="0.25">
      <c r="A41" s="35"/>
      <c r="B41" s="10" t="str">
        <f>CONCATENATE("          ","6009", " - ","TEMPORARY-SEASONAL")</f>
        <v xml:space="preserve">          6009 - TEMPORARY-SEASONAL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0" t="str">
        <f>CONCATENATE("          ","6010", " - ","GRATUITY")</f>
        <v xml:space="preserve">          6010 - GRATUITY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SUM(OSRRefD21_2x_0)</f>
        <v>0</v>
      </c>
      <c r="E43" s="1">
        <f>SUM(OSRRefD21_2x_1)</f>
        <v>3.75</v>
      </c>
      <c r="F43" s="1">
        <f>SUM(OSRRefD21_2x_2)</f>
        <v>-0.44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SUM(OSRRefD21_2x_8)</f>
        <v>0</v>
      </c>
      <c r="M43" s="1">
        <f>SUM(OSRRefD21_2x_9)</f>
        <v>0</v>
      </c>
      <c r="N43" s="1">
        <f>SUM(OSRRefE21_2x_0)</f>
        <v>0</v>
      </c>
      <c r="O43" s="1">
        <f>SUM(OSRRefE21_2x_1)</f>
        <v>0</v>
      </c>
      <c r="Q43" s="2">
        <f>SUM(OSRRefD20_2x)+IFERROR(SUM(OSRRefE20_2x),0)</f>
        <v>3.31</v>
      </c>
    </row>
    <row r="44" spans="1:17" s="34" customFormat="1" hidden="1" outlineLevel="1" x14ac:dyDescent="0.25">
      <c r="A44" s="35"/>
      <c r="B44" s="10" t="str">
        <f>CONCATENATE("          ","6272", " - ","CASH (OVER/SHORT)")</f>
        <v xml:space="preserve">          6272 - CASH (OVER/SHORT)</v>
      </c>
      <c r="C44" s="11"/>
      <c r="D44" s="2"/>
      <c r="E44" s="2">
        <v>3.75</v>
      </c>
      <c r="F44" s="2">
        <v>-0.44</v>
      </c>
      <c r="G44" s="2">
        <v>0</v>
      </c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3.31</v>
      </c>
    </row>
    <row r="45" spans="1:17" s="34" customFormat="1" collapsed="1" x14ac:dyDescent="0.25">
      <c r="A45" s="35"/>
      <c r="B45" s="11" t="str">
        <f>CONCATENATE("     ","Bank/card Fees                                    ")</f>
        <v xml:space="preserve">     Bank/card Fees                                    </v>
      </c>
      <c r="C45" s="11"/>
      <c r="D45" s="1">
        <f>SUM(OSRRefD21_3x_0)</f>
        <v>0</v>
      </c>
      <c r="E45" s="1">
        <f>SUM(OSRRefD21_3x_1)</f>
        <v>0</v>
      </c>
      <c r="F45" s="1">
        <f>SUM(OSRRefD21_3x_2)</f>
        <v>50.18</v>
      </c>
      <c r="G45" s="1">
        <f>SUM(OSRRefD21_3x_3)</f>
        <v>144.06</v>
      </c>
      <c r="H45" s="1">
        <f>SUM(OSRRefD21_3x_4)</f>
        <v>205.09</v>
      </c>
      <c r="I45" s="1">
        <f>SUM(OSRRefD21_3x_5)</f>
        <v>274</v>
      </c>
      <c r="J45" s="1">
        <f>SUM(OSRRefD21_3x_6)</f>
        <v>224.95</v>
      </c>
      <c r="K45" s="1">
        <f>SUM(OSRRefD21_3x_7)</f>
        <v>224.95</v>
      </c>
      <c r="L45" s="1">
        <f>SUM(OSRRefD21_3x_8)</f>
        <v>224.95</v>
      </c>
      <c r="M45" s="1">
        <f>SUM(OSRRefD21_3x_9)</f>
        <v>224.95</v>
      </c>
      <c r="N45" s="1">
        <f>SUM(OSRRefE21_3x_0)</f>
        <v>0</v>
      </c>
      <c r="O45" s="1">
        <f>SUM(OSRRefE21_3x_1)</f>
        <v>0</v>
      </c>
      <c r="Q45" s="2">
        <f>SUM(OSRRefD20_3x)+IFERROR(SUM(OSRRefE20_3x),0)</f>
        <v>1573.13</v>
      </c>
    </row>
    <row r="46" spans="1:17" s="34" customFormat="1" hidden="1" outlineLevel="1" x14ac:dyDescent="0.25">
      <c r="A46" s="35"/>
      <c r="B46" s="10" t="str">
        <f>CONCATENATE("          ","6381", " - ","BANK/CREDIT CARD FEES")</f>
        <v xml:space="preserve">          6381 - BANK/CREDIT CARD FEES</v>
      </c>
      <c r="C46" s="11"/>
      <c r="D46" s="2"/>
      <c r="E46" s="2"/>
      <c r="F46" s="2">
        <v>50.18</v>
      </c>
      <c r="G46" s="2">
        <v>144.06</v>
      </c>
      <c r="H46" s="2">
        <v>205.09</v>
      </c>
      <c r="I46" s="2">
        <v>274</v>
      </c>
      <c r="J46" s="2">
        <v>224.95</v>
      </c>
      <c r="K46" s="2">
        <v>224.95</v>
      </c>
      <c r="L46" s="2">
        <v>224.95</v>
      </c>
      <c r="M46" s="2">
        <v>224.95</v>
      </c>
      <c r="N46" s="2"/>
      <c r="O46" s="2"/>
      <c r="P46" s="9"/>
      <c r="Q46" s="2">
        <f>SUM(OSRRefD21_3_0x)+IFERROR(SUM(OSRRefE21_3_0x),0)</f>
        <v>1573.13</v>
      </c>
    </row>
    <row r="47" spans="1:17" s="34" customFormat="1" collapsed="1" x14ac:dyDescent="0.25">
      <c r="A47" s="35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SUM(OSRRefD21_4x_0)</f>
        <v>1075.3699999999999</v>
      </c>
      <c r="E47" s="1">
        <f>SUM(OSRRefD21_4x_1)</f>
        <v>1075.3699999999999</v>
      </c>
      <c r="F47" s="1">
        <f>SUM(OSRRefD21_4x_2)</f>
        <v>1075.3699999999999</v>
      </c>
      <c r="G47" s="1">
        <f>SUM(OSRRefD21_4x_3)</f>
        <v>1075.3699999999999</v>
      </c>
      <c r="H47" s="1">
        <f>SUM(OSRRefD21_4x_4)</f>
        <v>1075.3699999999999</v>
      </c>
      <c r="I47" s="1">
        <f>SUM(OSRRefD21_4x_5)</f>
        <v>1075.3699999999999</v>
      </c>
      <c r="J47" s="1">
        <f>SUM(OSRRefD21_4x_6)</f>
        <v>1075.3699999999999</v>
      </c>
      <c r="K47" s="1">
        <f>SUM(OSRRefD21_4x_7)</f>
        <v>1075.3699999999999</v>
      </c>
      <c r="L47" s="1">
        <f>SUM(OSRRefD21_4x_8)</f>
        <v>1075.3699999999999</v>
      </c>
      <c r="M47" s="1">
        <f>SUM(OSRRefD21_4x_9)</f>
        <v>1075.3699999999999</v>
      </c>
      <c r="N47" s="1">
        <f>SUM(OSRRefE21_4x_0)</f>
        <v>1075</v>
      </c>
      <c r="O47" s="1">
        <f>SUM(OSRRefE21_4x_1)</f>
        <v>1075</v>
      </c>
      <c r="Q47" s="2">
        <f>SUM(OSRRefD20_4x)+IFERROR(SUM(OSRRefE20_4x),0)</f>
        <v>12903.699999999997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1075.3699999999999</v>
      </c>
      <c r="E48" s="2">
        <v>1075.3699999999999</v>
      </c>
      <c r="F48" s="2">
        <v>1075.3699999999999</v>
      </c>
      <c r="G48" s="2">
        <v>1075.3699999999999</v>
      </c>
      <c r="H48" s="2">
        <v>1075.3699999999999</v>
      </c>
      <c r="I48" s="2">
        <v>1075.3699999999999</v>
      </c>
      <c r="J48" s="2">
        <v>1075.3699999999999</v>
      </c>
      <c r="K48" s="2">
        <v>1075.3699999999999</v>
      </c>
      <c r="L48" s="2">
        <v>1075.3699999999999</v>
      </c>
      <c r="M48" s="2">
        <v>1075.3699999999999</v>
      </c>
      <c r="N48" s="2">
        <v>1075</v>
      </c>
      <c r="O48" s="2">
        <v>1075</v>
      </c>
      <c r="P48" s="9"/>
      <c r="Q48" s="2">
        <f>SUM(OSRRefD21_4_0x)+IFERROR(SUM(OSRRefE21_4_0x),0)</f>
        <v>12903.699999999997</v>
      </c>
    </row>
    <row r="49" spans="1:17" s="34" customFormat="1" collapsed="1" x14ac:dyDescent="0.25">
      <c r="A49" s="35"/>
      <c r="B49" s="11" t="str">
        <f>CONCATENATE("     ","General                                           ")</f>
        <v xml:space="preserve">     General                                           </v>
      </c>
      <c r="C49" s="11"/>
      <c r="D49" s="1">
        <f>SUM(OSRRefD21_5x_0)</f>
        <v>754.55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806.38</v>
      </c>
      <c r="J49" s="1">
        <f>SUM(OSRRefD21_5x_6)</f>
        <v>-421.99</v>
      </c>
      <c r="K49" s="1">
        <f>SUM(OSRRefD21_5x_7)</f>
        <v>0</v>
      </c>
      <c r="L49" s="1">
        <f>SUM(OSRRefD21_5x_8)</f>
        <v>646.37</v>
      </c>
      <c r="M49" s="1">
        <f>SUM(OSRRefD21_5x_9)</f>
        <v>0</v>
      </c>
      <c r="N49" s="1">
        <f>SUM(OSRRefE21_5x_0)</f>
        <v>0</v>
      </c>
      <c r="O49" s="1">
        <f>SUM(OSRRefE21_5x_1)</f>
        <v>0</v>
      </c>
      <c r="Q49" s="2">
        <f>SUM(OSRRefD20_5x)+IFERROR(SUM(OSRRefE20_5x),0)</f>
        <v>1785.31</v>
      </c>
    </row>
    <row r="50" spans="1:17" s="34" customFormat="1" hidden="1" outlineLevel="1" x14ac:dyDescent="0.25">
      <c r="A50" s="35"/>
      <c r="B50" s="10" t="str">
        <f>CONCATENATE("          ","6279", " - ","GENERAL EXPENSE")</f>
        <v xml:space="preserve">          6279 - GENERAL EXPENSE</v>
      </c>
      <c r="C50" s="11"/>
      <c r="D50" s="2">
        <v>754.55</v>
      </c>
      <c r="E50" s="2"/>
      <c r="F50" s="2"/>
      <c r="G50" s="2"/>
      <c r="H50" s="2"/>
      <c r="I50" s="2">
        <v>806.38</v>
      </c>
      <c r="J50" s="2">
        <v>-421.99</v>
      </c>
      <c r="K50" s="2"/>
      <c r="L50" s="2">
        <v>646.37</v>
      </c>
      <c r="M50" s="2"/>
      <c r="N50" s="2"/>
      <c r="O50" s="2"/>
      <c r="P50" s="9"/>
      <c r="Q50" s="2">
        <f>SUM(OSRRefD21_5_0x)+IFERROR(SUM(OSRRefE21_5_0x),0)</f>
        <v>1785.31</v>
      </c>
    </row>
    <row r="51" spans="1:17" s="34" customFormat="1" collapsed="1" x14ac:dyDescent="0.25">
      <c r="A51" s="35"/>
      <c r="B51" s="11" t="str">
        <f>CONCATENATE("     ","Repair and Maintenance                            ")</f>
        <v xml:space="preserve">     Repair and Maintenance                            </v>
      </c>
      <c r="C51" s="11"/>
      <c r="D51" s="1">
        <f>SUM(OSRRefD21_6x_0)</f>
        <v>0</v>
      </c>
      <c r="E51" s="1">
        <f>SUM(OSRRefD21_6x_1)</f>
        <v>168.6</v>
      </c>
      <c r="F51" s="1">
        <f>SUM(OSRRefD21_6x_2)</f>
        <v>275.79000000000002</v>
      </c>
      <c r="G51" s="1">
        <f>SUM(OSRRefD21_6x_3)</f>
        <v>0</v>
      </c>
      <c r="H51" s="1">
        <f>SUM(OSRRefD21_6x_4)</f>
        <v>0</v>
      </c>
      <c r="I51" s="1">
        <f>SUM(OSRRefD21_6x_5)</f>
        <v>48.23</v>
      </c>
      <c r="J51" s="1">
        <f>SUM(OSRRefD21_6x_6)</f>
        <v>0</v>
      </c>
      <c r="K51" s="1">
        <f>SUM(OSRRefD21_6x_7)</f>
        <v>0</v>
      </c>
      <c r="L51" s="1">
        <f>SUM(OSRRefD21_6x_8)</f>
        <v>48.23</v>
      </c>
      <c r="M51" s="1">
        <f>SUM(OSRRefD21_6x_9)</f>
        <v>0</v>
      </c>
      <c r="N51" s="1">
        <f>SUM(OSRRefE21_6x_0)</f>
        <v>0</v>
      </c>
      <c r="O51" s="1">
        <f>SUM(OSRRefE21_6x_1)</f>
        <v>0</v>
      </c>
      <c r="Q51" s="2">
        <f>SUM(OSRRefD20_6x)+IFERROR(SUM(OSRRefE20_6x),0)</f>
        <v>540.85</v>
      </c>
    </row>
    <row r="52" spans="1:17" s="34" customFormat="1" hidden="1" outlineLevel="1" x14ac:dyDescent="0.25">
      <c r="A52" s="35"/>
      <c r="B52" s="10" t="str">
        <f>CONCATENATE("          ","6373", " - ","MAINTENANCE CONTRACTS")</f>
        <v xml:space="preserve">          6373 - MAINTENANCE CONTRACTS</v>
      </c>
      <c r="C52" s="11"/>
      <c r="D52" s="2"/>
      <c r="E52" s="2">
        <v>78.599999999999994</v>
      </c>
      <c r="F52" s="2">
        <v>48.23</v>
      </c>
      <c r="G52" s="2"/>
      <c r="H52" s="2"/>
      <c r="I52" s="2">
        <v>48.23</v>
      </c>
      <c r="J52" s="2"/>
      <c r="K52" s="2"/>
      <c r="L52" s="2">
        <v>48.23</v>
      </c>
      <c r="M52" s="2"/>
      <c r="N52" s="2"/>
      <c r="O52" s="2"/>
      <c r="P52" s="9"/>
      <c r="Q52" s="2">
        <f>SUM(OSRRefD21_6_0x)+IFERROR(SUM(OSRRefE21_6_0x),0)</f>
        <v>223.28999999999996</v>
      </c>
    </row>
    <row r="53" spans="1:17" s="34" customFormat="1" hidden="1" outlineLevel="1" x14ac:dyDescent="0.25">
      <c r="A53" s="35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>
        <v>90</v>
      </c>
      <c r="F53" s="2">
        <v>227.56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SUM(OSRRefD21_6_1x)+IFERROR(SUM(OSRRefE21_6_1x),0)</f>
        <v>317.56</v>
      </c>
    </row>
    <row r="54" spans="1:17" s="34" customFormat="1" collapsed="1" x14ac:dyDescent="0.25">
      <c r="A54" s="35"/>
      <c r="B54" s="11" t="str">
        <f>CONCATENATE("     ","Royalty &amp; Commissions                             ")</f>
        <v xml:space="preserve">     Royalty &amp; Commissions                             </v>
      </c>
      <c r="C54" s="11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185.7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SUM(OSRRefD21_7x_9)</f>
        <v>0</v>
      </c>
      <c r="N54" s="1">
        <f>SUM(OSRRefE21_7x_0)</f>
        <v>0</v>
      </c>
      <c r="O54" s="1">
        <f>SUM(OSRRefE21_7x_1)</f>
        <v>0</v>
      </c>
      <c r="Q54" s="2">
        <f>SUM(OSRRefD20_7x)+IFERROR(SUM(OSRRefE20_7x),0)</f>
        <v>185.7</v>
      </c>
    </row>
    <row r="55" spans="1:17" s="34" customFormat="1" hidden="1" outlineLevel="1" x14ac:dyDescent="0.25">
      <c r="A55" s="35"/>
      <c r="B55" s="10" t="str">
        <f>CONCATENATE("          ","6254", " - ","ROYALTY &amp; COMMISSIONS")</f>
        <v xml:space="preserve">          6254 - ROYALTY &amp; COMMISSIONS</v>
      </c>
      <c r="C55" s="11"/>
      <c r="D55" s="2"/>
      <c r="E55" s="2"/>
      <c r="F55" s="2"/>
      <c r="G55" s="2">
        <v>185.7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185.7</v>
      </c>
    </row>
    <row r="56" spans="1:17" s="34" customFormat="1" collapsed="1" x14ac:dyDescent="0.25">
      <c r="A56" s="35"/>
      <c r="B56" s="11" t="str">
        <f>CONCATENATE("     ","Services                                          ")</f>
        <v xml:space="preserve">     Services                                          </v>
      </c>
      <c r="C56" s="11"/>
      <c r="D56" s="1">
        <f>SUM(OSRRefD21_8x_0)</f>
        <v>-145.32</v>
      </c>
      <c r="E56" s="1">
        <f>SUM(OSRRefD21_8x_1)</f>
        <v>0</v>
      </c>
      <c r="F56" s="1">
        <f>SUM(OSRRefD21_8x_2)</f>
        <v>41</v>
      </c>
      <c r="G56" s="1">
        <f>SUM(OSRRefD21_8x_3)</f>
        <v>0</v>
      </c>
      <c r="H56" s="1">
        <f>SUM(OSRRefD21_8x_4)</f>
        <v>41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SUM(OSRRefD21_8x_8)</f>
        <v>0</v>
      </c>
      <c r="M56" s="1">
        <f>SUM(OSRRefD21_8x_9)</f>
        <v>0</v>
      </c>
      <c r="N56" s="1">
        <f>SUM(OSRRefE21_8x_0)</f>
        <v>0</v>
      </c>
      <c r="O56" s="1">
        <f>SUM(OSRRefE21_8x_1)</f>
        <v>0</v>
      </c>
      <c r="Q56" s="2">
        <f>SUM(OSRRefD20_8x)+IFERROR(SUM(OSRRefE20_8x),0)</f>
        <v>-63.319999999999993</v>
      </c>
    </row>
    <row r="57" spans="1:17" s="34" customFormat="1" hidden="1" outlineLevel="1" x14ac:dyDescent="0.25">
      <c r="A57" s="35"/>
      <c r="B57" s="10" t="str">
        <f>CONCATENATE("          ","6282", " - ","JANITORIAL/EXTERMINATOR EXPENS")</f>
        <v xml:space="preserve">          6282 - JANITORIAL/EXTERMINATOR EXPENS</v>
      </c>
      <c r="C57" s="11"/>
      <c r="D57" s="2"/>
      <c r="E57" s="2"/>
      <c r="F57" s="2">
        <v>41</v>
      </c>
      <c r="G57" s="2"/>
      <c r="H57" s="2">
        <v>41</v>
      </c>
      <c r="I57" s="2"/>
      <c r="J57" s="2"/>
      <c r="K57" s="2"/>
      <c r="L57" s="2"/>
      <c r="M57" s="2"/>
      <c r="N57" s="2"/>
      <c r="O57" s="2"/>
      <c r="P57" s="9"/>
      <c r="Q57" s="2">
        <f>SUM(OSRRefD21_8_0x)+IFERROR(SUM(OSRRefE21_8_0x),0)</f>
        <v>82</v>
      </c>
    </row>
    <row r="58" spans="1:17" s="34" customFormat="1" hidden="1" outlineLevel="1" x14ac:dyDescent="0.25">
      <c r="A58" s="35"/>
      <c r="B58" s="10" t="str">
        <f>CONCATENATE("          ","6285", " - ","JANITORIAL SERVICES")</f>
        <v xml:space="preserve">          6285 - JANITORIAL SERVICES</v>
      </c>
      <c r="C58" s="11"/>
      <c r="D58" s="2">
        <v>-145.32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-145.32</v>
      </c>
    </row>
    <row r="59" spans="1:17" s="34" customFormat="1" collapsed="1" x14ac:dyDescent="0.25">
      <c r="A59" s="35"/>
      <c r="B59" s="11" t="str">
        <f>CONCATENATE("     ","Supplies                                          ")</f>
        <v xml:space="preserve">     Supplies                                          </v>
      </c>
      <c r="C59" s="11"/>
      <c r="D59" s="1">
        <f>SUM(OSRRefD21_9x_0)</f>
        <v>207.27</v>
      </c>
      <c r="E59" s="1">
        <f>SUM(OSRRefD21_9x_1)</f>
        <v>80.28</v>
      </c>
      <c r="F59" s="1">
        <f>SUM(OSRRefD21_9x_2)</f>
        <v>0</v>
      </c>
      <c r="G59" s="1">
        <f>SUM(OSRRefD21_9x_3)</f>
        <v>41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SUM(OSRRefE21_9x_0)</f>
        <v>0</v>
      </c>
      <c r="O59" s="1">
        <f>SUM(OSRRefE21_9x_1)</f>
        <v>0</v>
      </c>
      <c r="Q59" s="2">
        <f>SUM(OSRRefD20_9x)+IFERROR(SUM(OSRRefE20_9x),0)</f>
        <v>328.55</v>
      </c>
    </row>
    <row r="60" spans="1:17" s="34" customFormat="1" hidden="1" outlineLevel="1" x14ac:dyDescent="0.25">
      <c r="A60" s="35"/>
      <c r="B60" s="10" t="str">
        <f>CONCATENATE("          ","6235", " - ","COVID-19 EXPENSES")</f>
        <v xml:space="preserve">          6235 - COVID-19 EXPENSES</v>
      </c>
      <c r="C60" s="11"/>
      <c r="D60" s="2">
        <v>207.27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207.27</v>
      </c>
    </row>
    <row r="61" spans="1:17" s="34" customFormat="1" hidden="1" outlineLevel="1" x14ac:dyDescent="0.25">
      <c r="A61" s="35"/>
      <c r="B61" s="10" t="str">
        <f>CONCATENATE("          ","6247", " - ","STORE SUPPLIES")</f>
        <v xml:space="preserve">          6247 - STORE SUPPLIES</v>
      </c>
      <c r="C61" s="11"/>
      <c r="D61" s="2"/>
      <c r="E61" s="2">
        <v>80.28</v>
      </c>
      <c r="F61" s="2"/>
      <c r="G61" s="2">
        <v>41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121.28</v>
      </c>
    </row>
    <row r="62" spans="1:17" s="34" customFormat="1" collapsed="1" x14ac:dyDescent="0.25">
      <c r="A62" s="35"/>
      <c r="B62" s="11" t="str">
        <f>CONCATENATE("     ","Telephone/Data Lines                              ")</f>
        <v xml:space="preserve">     Telephone/Data Lines                              </v>
      </c>
      <c r="C62" s="11"/>
      <c r="D62" s="1">
        <f>SUM(OSRRefD21_10x_0)</f>
        <v>101.5</v>
      </c>
      <c r="E62" s="1">
        <f>SUM(OSRRefD21_10x_1)</f>
        <v>101.5</v>
      </c>
      <c r="F62" s="1">
        <f>SUM(OSRRefD21_10x_2)</f>
        <v>125</v>
      </c>
      <c r="G62" s="1">
        <f>SUM(OSRRefD21_10x_3)</f>
        <v>101.5</v>
      </c>
      <c r="H62" s="1">
        <f>SUM(OSRRefD21_10x_4)</f>
        <v>101.5</v>
      </c>
      <c r="I62" s="1">
        <f>SUM(OSRRefD21_10x_5)</f>
        <v>101.5</v>
      </c>
      <c r="J62" s="1">
        <f>SUM(OSRRefD21_10x_6)</f>
        <v>51.5</v>
      </c>
      <c r="K62" s="1">
        <f>SUM(OSRRefD21_10x_7)</f>
        <v>51.5</v>
      </c>
      <c r="L62" s="1">
        <f>SUM(OSRRefD21_10x_8)</f>
        <v>51.5</v>
      </c>
      <c r="M62" s="1">
        <f>SUM(OSRRefD21_10x_9)</f>
        <v>51.5</v>
      </c>
      <c r="N62" s="1">
        <f>SUM(OSRRefE21_10x_0)</f>
        <v>75</v>
      </c>
      <c r="O62" s="1">
        <f>SUM(OSRRefE21_10x_1)</f>
        <v>75</v>
      </c>
      <c r="Q62" s="2">
        <f>SUM(OSRRefD20_10x)+IFERROR(SUM(OSRRefE20_10x),0)</f>
        <v>988.5</v>
      </c>
    </row>
    <row r="63" spans="1:17" s="34" customFormat="1" hidden="1" outlineLevel="1" x14ac:dyDescent="0.25">
      <c r="A63" s="35"/>
      <c r="B63" s="10" t="str">
        <f>CONCATENATE("          ","6303", " - ","DATA PHONE LINES")</f>
        <v xml:space="preserve">          6303 - DATA PHONE LINES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75</v>
      </c>
      <c r="O63" s="2">
        <v>75</v>
      </c>
      <c r="P63" s="9"/>
      <c r="Q63" s="2">
        <f>SUM(OSRRefD21_10_0x)+IFERROR(SUM(OSRRefE21_10_0x),0)</f>
        <v>150</v>
      </c>
    </row>
    <row r="64" spans="1:17" s="34" customFormat="1" hidden="1" outlineLevel="1" x14ac:dyDescent="0.25">
      <c r="A64" s="35"/>
      <c r="B64" s="10" t="str">
        <f>CONCATENATE("          ","6309", " - ","TELEPHONE")</f>
        <v xml:space="preserve">          6309 - TELEPHONE</v>
      </c>
      <c r="C64" s="11"/>
      <c r="D64" s="2">
        <v>101.5</v>
      </c>
      <c r="E64" s="2">
        <v>101.5</v>
      </c>
      <c r="F64" s="2">
        <v>125</v>
      </c>
      <c r="G64" s="2">
        <v>101.5</v>
      </c>
      <c r="H64" s="2">
        <v>101.5</v>
      </c>
      <c r="I64" s="2">
        <v>101.5</v>
      </c>
      <c r="J64" s="2">
        <v>51.5</v>
      </c>
      <c r="K64" s="2">
        <v>51.5</v>
      </c>
      <c r="L64" s="2">
        <v>51.5</v>
      </c>
      <c r="M64" s="2">
        <v>51.5</v>
      </c>
      <c r="N64" s="2"/>
      <c r="O64" s="2"/>
      <c r="P64" s="9"/>
      <c r="Q64" s="2">
        <f>SUM(OSRRefD21_10_1x)+IFERROR(SUM(OSRRefE21_10_1x),0)</f>
        <v>838.5</v>
      </c>
    </row>
    <row r="65" spans="1:17" s="34" customFormat="1" collapsed="1" x14ac:dyDescent="0.25">
      <c r="A65" s="35"/>
      <c r="B65" s="11" t="str">
        <f>CONCATENATE("     ","Utilities                                         ")</f>
        <v xml:space="preserve">     Utilities                                         </v>
      </c>
      <c r="C65" s="11"/>
      <c r="D65" s="1">
        <f>SUM(OSRRefD21_11x_0)</f>
        <v>50</v>
      </c>
      <c r="E65" s="1">
        <f>SUM(OSRRefD21_11x_1)</f>
        <v>50</v>
      </c>
      <c r="F65" s="1">
        <f>SUM(OSRRefD21_11x_2)</f>
        <v>50</v>
      </c>
      <c r="G65" s="1">
        <f>SUM(OSRRefD21_11x_3)</f>
        <v>50</v>
      </c>
      <c r="H65" s="1">
        <f>SUM(OSRRefD21_11x_4)</f>
        <v>50</v>
      </c>
      <c r="I65" s="1">
        <f>SUM(OSRRefD21_11x_5)</f>
        <v>50</v>
      </c>
      <c r="J65" s="1">
        <f>SUM(OSRRefD21_11x_6)</f>
        <v>50</v>
      </c>
      <c r="K65" s="1">
        <f>SUM(OSRRefD21_11x_7)</f>
        <v>50</v>
      </c>
      <c r="L65" s="1">
        <f>SUM(OSRRefD21_11x_8)</f>
        <v>50</v>
      </c>
      <c r="M65" s="1">
        <f>SUM(OSRRefD21_11x_9)</f>
        <v>50</v>
      </c>
      <c r="N65" s="1">
        <f>SUM(OSRRefE21_11x_0)</f>
        <v>50</v>
      </c>
      <c r="O65" s="1">
        <f>SUM(OSRRefE21_11x_1)</f>
        <v>50</v>
      </c>
      <c r="Q65" s="2">
        <f>SUM(OSRRefD20_11x)+IFERROR(SUM(OSRRefE20_11x),0)</f>
        <v>600</v>
      </c>
    </row>
    <row r="66" spans="1:17" s="34" customFormat="1" hidden="1" outlineLevel="1" x14ac:dyDescent="0.25">
      <c r="A66" s="35"/>
      <c r="B66" s="10" t="str">
        <f>CONCATENATE("          ","6274", " - ","UTILITIES")</f>
        <v xml:space="preserve">          6274 - UTILITIES</v>
      </c>
      <c r="C66" s="11"/>
      <c r="D66" s="2">
        <v>50</v>
      </c>
      <c r="E66" s="2">
        <v>50</v>
      </c>
      <c r="F66" s="2">
        <v>50</v>
      </c>
      <c r="G66" s="2">
        <v>50</v>
      </c>
      <c r="H66" s="2">
        <v>50</v>
      </c>
      <c r="I66" s="2">
        <v>50</v>
      </c>
      <c r="J66" s="2">
        <v>50</v>
      </c>
      <c r="K66" s="2">
        <v>50</v>
      </c>
      <c r="L66" s="2">
        <v>50</v>
      </c>
      <c r="M66" s="2">
        <v>50</v>
      </c>
      <c r="N66" s="2">
        <v>50</v>
      </c>
      <c r="O66" s="2">
        <v>50</v>
      </c>
      <c r="P66" s="9"/>
      <c r="Q66" s="2">
        <f>SUM(OSRRefD21_11_0x)+IFERROR(SUM(OSRRefE21_11_0x),0)</f>
        <v>600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3"/>
      <c r="B68" s="16" t="s">
        <v>291</v>
      </c>
      <c r="C68" s="22"/>
      <c r="D68" s="3">
        <f t="shared" ref="D68:M68" si="4">0</f>
        <v>0</v>
      </c>
      <c r="E68" s="3">
        <f t="shared" si="4"/>
        <v>0</v>
      </c>
      <c r="F68" s="3">
        <f t="shared" si="4"/>
        <v>0</v>
      </c>
      <c r="G68" s="3">
        <f t="shared" si="4"/>
        <v>0</v>
      </c>
      <c r="H68" s="3">
        <f t="shared" si="4"/>
        <v>0</v>
      </c>
      <c r="I68" s="3">
        <f t="shared" si="4"/>
        <v>0</v>
      </c>
      <c r="J68" s="3">
        <f t="shared" si="4"/>
        <v>0</v>
      </c>
      <c r="K68" s="3">
        <f t="shared" si="4"/>
        <v>0</v>
      </c>
      <c r="L68" s="3">
        <f t="shared" si="4"/>
        <v>0</v>
      </c>
      <c r="M68" s="3">
        <f t="shared" si="4"/>
        <v>0</v>
      </c>
      <c r="N68" s="3"/>
      <c r="O68" s="3"/>
      <c r="Q68" s="2">
        <f>SUM(OSRRefD23_0x)+IFERROR(SUM(OSRRefE23_0x),0)</f>
        <v>0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274</v>
      </c>
      <c r="C70" s="17"/>
      <c r="D70" s="8">
        <f t="shared" ref="D70:O70" si="5">IFERROR(+D18-D21+D68, 0)</f>
        <v>-5571.05</v>
      </c>
      <c r="E70" s="8">
        <f t="shared" si="5"/>
        <v>-7576.49</v>
      </c>
      <c r="F70" s="8">
        <f t="shared" si="5"/>
        <v>-7432.3000000000029</v>
      </c>
      <c r="G70" s="8">
        <f t="shared" si="5"/>
        <v>-4381.6699999999992</v>
      </c>
      <c r="H70" s="8">
        <f t="shared" si="5"/>
        <v>-4495.3099999999995</v>
      </c>
      <c r="I70" s="8">
        <f t="shared" si="5"/>
        <v>-3502.98</v>
      </c>
      <c r="J70" s="8">
        <f t="shared" si="5"/>
        <v>-722.07999999999993</v>
      </c>
      <c r="K70" s="8">
        <f t="shared" si="5"/>
        <v>-20980.82</v>
      </c>
      <c r="L70" s="8">
        <f t="shared" si="5"/>
        <v>-2096.42</v>
      </c>
      <c r="M70" s="8">
        <f t="shared" si="5"/>
        <v>-1401.82</v>
      </c>
      <c r="N70" s="8">
        <f t="shared" si="5"/>
        <v>-1200</v>
      </c>
      <c r="O70" s="8">
        <f t="shared" si="5"/>
        <v>-1200</v>
      </c>
      <c r="Q70" s="8">
        <f>IFERROR(+Q18-Q21+Q68, 0)</f>
        <v>-60560.939999999988</v>
      </c>
    </row>
    <row r="71" spans="1:17" s="6" customFormat="1" x14ac:dyDescent="0.25">
      <c r="B71" s="16"/>
      <c r="C71" s="16"/>
      <c r="D71" s="4">
        <f t="shared" ref="D71:O71" si="6">IFERROR(D70/D10, 0)</f>
        <v>0</v>
      </c>
      <c r="E71" s="4">
        <f t="shared" si="6"/>
        <v>-10.611330532212884</v>
      </c>
      <c r="F71" s="4">
        <f t="shared" si="6"/>
        <v>-4.216979579794268</v>
      </c>
      <c r="G71" s="4">
        <f t="shared" si="6"/>
        <v>0</v>
      </c>
      <c r="H71" s="4">
        <f t="shared" si="6"/>
        <v>0</v>
      </c>
      <c r="I71" s="4">
        <f t="shared" si="6"/>
        <v>0</v>
      </c>
      <c r="J71" s="4">
        <f t="shared" si="6"/>
        <v>0</v>
      </c>
      <c r="K71" s="4">
        <f t="shared" si="6"/>
        <v>0</v>
      </c>
      <c r="L71" s="4">
        <f t="shared" si="6"/>
        <v>0</v>
      </c>
      <c r="M71" s="4">
        <f t="shared" si="6"/>
        <v>0</v>
      </c>
      <c r="N71" s="4">
        <f t="shared" si="6"/>
        <v>0</v>
      </c>
      <c r="O71" s="4">
        <f t="shared" si="6"/>
        <v>0</v>
      </c>
      <c r="P71" s="18"/>
      <c r="Q71" s="4">
        <f>IFERROR(Q70/Q10, 0)</f>
        <v>-24.454542150722599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/>
      <c r="E73" s="3">
        <v>120.55</v>
      </c>
      <c r="F73" s="3">
        <v>338.23</v>
      </c>
      <c r="G73" s="3">
        <v>77.680000000000007</v>
      </c>
      <c r="H73" s="3">
        <v>-142.94999999999999</v>
      </c>
      <c r="I73" s="3">
        <v>64.69</v>
      </c>
      <c r="J73" s="3">
        <v>-8.66</v>
      </c>
      <c r="K73" s="3">
        <v>40.89</v>
      </c>
      <c r="L73" s="3">
        <v>19.95</v>
      </c>
      <c r="M73" s="3">
        <v>7.71</v>
      </c>
      <c r="N73" s="3"/>
      <c r="O73" s="3"/>
      <c r="Q73" s="2">
        <f>SUM(OSRRefD28_0x)+IFERROR(SUM(OSRRefE28_0x),0)</f>
        <v>518.09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7">
        <f t="shared" ref="D75:O75" si="7">IFERROR(+D70-D73, 0)</f>
        <v>-5571.05</v>
      </c>
      <c r="E75" s="7">
        <f t="shared" si="7"/>
        <v>-7697.04</v>
      </c>
      <c r="F75" s="7">
        <f t="shared" si="7"/>
        <v>-7770.5300000000025</v>
      </c>
      <c r="G75" s="7">
        <f t="shared" si="7"/>
        <v>-4459.3499999999995</v>
      </c>
      <c r="H75" s="7">
        <f t="shared" si="7"/>
        <v>-4352.3599999999997</v>
      </c>
      <c r="I75" s="7">
        <f t="shared" si="7"/>
        <v>-3567.67</v>
      </c>
      <c r="J75" s="7">
        <f t="shared" si="7"/>
        <v>-713.42</v>
      </c>
      <c r="K75" s="7">
        <f t="shared" si="7"/>
        <v>-21021.71</v>
      </c>
      <c r="L75" s="7">
        <f t="shared" si="7"/>
        <v>-2116.37</v>
      </c>
      <c r="M75" s="7">
        <f t="shared" si="7"/>
        <v>-1409.53</v>
      </c>
      <c r="N75" s="7">
        <f t="shared" si="7"/>
        <v>-1200</v>
      </c>
      <c r="O75" s="7">
        <f t="shared" si="7"/>
        <v>-1200</v>
      </c>
      <c r="Q75" s="7">
        <f>IFERROR(+Q70-Q73, 0)</f>
        <v>-61079.029999999984</v>
      </c>
    </row>
    <row r="76" spans="1:17" ht="15.75" thickTop="1" x14ac:dyDescent="0.25">
      <c r="A76" s="5"/>
      <c r="B76" s="5"/>
      <c r="C76" s="5"/>
      <c r="D76" s="4">
        <f t="shared" ref="D76:O76" si="8">IFERROR(D75/D10, 0)</f>
        <v>0</v>
      </c>
      <c r="E76" s="4">
        <f t="shared" si="8"/>
        <v>-10.78016806722689</v>
      </c>
      <c r="F76" s="4">
        <f t="shared" si="8"/>
        <v>-4.4088863923924961</v>
      </c>
      <c r="G76" s="4">
        <f t="shared" si="8"/>
        <v>0</v>
      </c>
      <c r="H76" s="4">
        <f t="shared" si="8"/>
        <v>0</v>
      </c>
      <c r="I76" s="4">
        <f t="shared" si="8"/>
        <v>0</v>
      </c>
      <c r="J76" s="4">
        <f t="shared" si="8"/>
        <v>0</v>
      </c>
      <c r="K76" s="4">
        <f t="shared" si="8"/>
        <v>0</v>
      </c>
      <c r="L76" s="4">
        <f t="shared" si="8"/>
        <v>0</v>
      </c>
      <c r="M76" s="4">
        <f t="shared" si="8"/>
        <v>0</v>
      </c>
      <c r="N76" s="4">
        <f t="shared" si="8"/>
        <v>0</v>
      </c>
      <c r="O76" s="4">
        <f t="shared" si="8"/>
        <v>0</v>
      </c>
      <c r="P76" s="18"/>
      <c r="Q76" s="4">
        <f>IFERROR(Q75/Q10, 0)</f>
        <v>-24.663747188538519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292</v>
      </c>
      <c r="C79" s="17"/>
      <c r="D79" s="7">
        <f t="shared" ref="D79:O79" si="9">IFERROR(SUM(D75:D78), 0)</f>
        <v>-5571.05</v>
      </c>
      <c r="E79" s="7">
        <f t="shared" si="9"/>
        <v>-7707.8201680672264</v>
      </c>
      <c r="F79" s="7">
        <f t="shared" si="9"/>
        <v>-7774.938886392395</v>
      </c>
      <c r="G79" s="7">
        <f t="shared" si="9"/>
        <v>-4459.3499999999995</v>
      </c>
      <c r="H79" s="7">
        <f t="shared" si="9"/>
        <v>-4352.3599999999997</v>
      </c>
      <c r="I79" s="7">
        <f t="shared" si="9"/>
        <v>-3567.67</v>
      </c>
      <c r="J79" s="7">
        <f t="shared" si="9"/>
        <v>-713.42</v>
      </c>
      <c r="K79" s="7">
        <f t="shared" si="9"/>
        <v>-21021.71</v>
      </c>
      <c r="L79" s="7">
        <f t="shared" si="9"/>
        <v>-2116.37</v>
      </c>
      <c r="M79" s="7">
        <f t="shared" si="9"/>
        <v>-1409.53</v>
      </c>
      <c r="N79" s="7">
        <f t="shared" si="9"/>
        <v>-1200</v>
      </c>
      <c r="O79" s="7">
        <f t="shared" si="9"/>
        <v>-1200</v>
      </c>
      <c r="Q79" s="7">
        <f>IFERROR(SUM(Q75:Q78), 0)</f>
        <v>-61103.693747188525</v>
      </c>
    </row>
    <row r="80" spans="1:17" ht="15.75" thickTop="1" x14ac:dyDescent="0.25">
      <c r="A80" s="5"/>
      <c r="C80" s="5"/>
      <c r="D80" s="4">
        <f t="shared" ref="D80:O80" si="10">IFERROR(D79/D10, 0)</f>
        <v>0</v>
      </c>
      <c r="E80" s="4">
        <f t="shared" si="10"/>
        <v>-10.79526634183085</v>
      </c>
      <c r="F80" s="4">
        <f t="shared" si="10"/>
        <v>-4.4113879307973445</v>
      </c>
      <c r="G80" s="4">
        <f t="shared" si="10"/>
        <v>0</v>
      </c>
      <c r="H80" s="4">
        <f t="shared" si="10"/>
        <v>0</v>
      </c>
      <c r="I80" s="4">
        <f t="shared" si="10"/>
        <v>0</v>
      </c>
      <c r="J80" s="4">
        <f t="shared" si="10"/>
        <v>0</v>
      </c>
      <c r="K80" s="4">
        <f t="shared" si="10"/>
        <v>0</v>
      </c>
      <c r="L80" s="4">
        <f t="shared" si="10"/>
        <v>0</v>
      </c>
      <c r="M80" s="4">
        <f t="shared" si="10"/>
        <v>0</v>
      </c>
      <c r="N80" s="4">
        <f t="shared" si="10"/>
        <v>0</v>
      </c>
      <c r="O80" s="4">
        <f t="shared" si="10"/>
        <v>0</v>
      </c>
      <c r="P80" s="18"/>
      <c r="Q80" s="4">
        <f>IFERROR(Q79/Q10, 0)</f>
        <v>-24.673706423735613</v>
      </c>
    </row>
    <row r="81" spans="1:17" x14ac:dyDescent="0.25">
      <c r="A81" s="5"/>
      <c r="B81" s="27">
        <v>44330.012769791669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31" t="s">
        <v>54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A83" s="5"/>
      <c r="B83" s="26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25"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","4100", " - ","NON-TAXABLE SALES")</f>
        <v xml:space="preserve">          4100 - NON-TAXABLE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3"/>
      <c r="B13" s="16" t="s">
        <v>217</v>
      </c>
      <c r="C13" s="22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SUM(OSRRefE14x_0)</f>
        <v>0</v>
      </c>
      <c r="O13" s="3">
        <f>SUM(OSRRefE14x_1)</f>
        <v>0</v>
      </c>
      <c r="Q13" s="3">
        <f>SUM(OSRRefG14x)</f>
        <v>-1222.33</v>
      </c>
    </row>
    <row r="14" spans="1:18" s="9" customFormat="1" hidden="1" outlineLevel="1" x14ac:dyDescent="0.25">
      <c r="A14" s="23"/>
      <c r="B14" s="10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/>
      <c r="K14" s="2"/>
      <c r="L14" s="2"/>
      <c r="M14" s="2"/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25">
      <c r="A15" s="23"/>
      <c r="B15" s="10" t="str">
        <f>CONCATENATE("          ","5053", " - ","PURCHASES @ COST-FOOD")</f>
        <v xml:space="preserve">          5053 - PURCHASES @ COST-FOOD</v>
      </c>
      <c r="C15" s="22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8">
        <f t="shared" ref="D17:O17" si="1">IFERROR(+D10-D13, 0)</f>
        <v>226.87</v>
      </c>
      <c r="E17" s="8">
        <f t="shared" si="1"/>
        <v>995.46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8">
        <f t="shared" si="1"/>
        <v>0</v>
      </c>
      <c r="O17" s="8">
        <f t="shared" si="1"/>
        <v>0</v>
      </c>
      <c r="Q17" s="8">
        <f>IFERROR(+Q10-Q13, 0)</f>
        <v>1222.33</v>
      </c>
    </row>
    <row r="18" spans="1:17" s="6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254</v>
      </c>
      <c r="C20" s="6"/>
      <c r="D20" s="14">
        <f>SUM(OSRRefD20x_0)</f>
        <v>5243.07</v>
      </c>
      <c r="E20" s="14">
        <f>SUM(OSRRefD20x_1)</f>
        <v>1605.98</v>
      </c>
      <c r="F20" s="14">
        <f>SUM(OSRRefD20x_2)</f>
        <v>2179.67</v>
      </c>
      <c r="G20" s="14">
        <f>SUM(OSRRefD20x_3)</f>
        <v>2238.54</v>
      </c>
      <c r="H20" s="14">
        <f>SUM(OSRRefD20x_4)</f>
        <v>2225.34</v>
      </c>
      <c r="I20" s="14">
        <f>SUM(OSRRefD20x_5)</f>
        <v>2297.69</v>
      </c>
      <c r="J20" s="14">
        <f>SUM(OSRRefD20x_6)</f>
        <v>2225.34</v>
      </c>
      <c r="K20" s="14">
        <f>SUM(OSRRefD20x_7)</f>
        <v>2225.34</v>
      </c>
      <c r="L20" s="14">
        <f>SUM(OSRRefD20x_8)</f>
        <v>1796.69</v>
      </c>
      <c r="M20" s="14">
        <f>SUM(OSRRefD20x_9)</f>
        <v>2225.34</v>
      </c>
      <c r="N20" s="14">
        <f>SUM(OSRRefE20x_0)</f>
        <v>2017</v>
      </c>
      <c r="O20" s="14">
        <f>SUM(OSRRefE20x_1)</f>
        <v>2017</v>
      </c>
      <c r="Q20" s="14">
        <f>SUM(OSRRefG20x)</f>
        <v>28297</v>
      </c>
    </row>
    <row r="21" spans="1:17" s="34" customFormat="1" collapsed="1" x14ac:dyDescent="0.25">
      <c r="A21" s="35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SUM(OSRRefD21_0x_9)</f>
        <v>0</v>
      </c>
      <c r="N21" s="1">
        <f>SUM(OSRRefE21_0x_0)</f>
        <v>0</v>
      </c>
      <c r="O21" s="1">
        <f>SUM(OSRRefE21_0x_1)</f>
        <v>0</v>
      </c>
      <c r="Q21" s="2">
        <f>SUM(OSRRefD20_0x)+IFERROR(SUM(OSRRefE20_0x),0)</f>
        <v>1595.9699999999998</v>
      </c>
    </row>
    <row r="22" spans="1:17" s="34" customFormat="1" hidden="1" outlineLevel="1" x14ac:dyDescent="0.25">
      <c r="A22" s="35"/>
      <c r="B22" s="10" t="str">
        <f>CONCATENATE("          ","6111", " - ","F.I.C.A.")</f>
        <v xml:space="preserve">          6111 - F.I.C.A.</v>
      </c>
      <c r="C22" s="11"/>
      <c r="D22" s="2">
        <v>159.12</v>
      </c>
      <c r="E22" s="2"/>
      <c r="F22" s="2"/>
      <c r="G22" s="2"/>
      <c r="H22" s="2"/>
      <c r="I22" s="2"/>
      <c r="J22" s="2"/>
      <c r="K22" s="2"/>
      <c r="L22" s="2"/>
      <c r="M22" s="2"/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4" customFormat="1" hidden="1" outlineLevel="1" x14ac:dyDescent="0.25">
      <c r="A23" s="35"/>
      <c r="B23" s="10" t="str">
        <f>CONCATENATE("          ","6112", " - ","COMPENSATION INSURANCE")</f>
        <v xml:space="preserve">          6112 - COMPENSATION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0" t="str">
        <f>CONCATENATE("          ","6113", " - ","GROUP INSURANCE")</f>
        <v xml:space="preserve">          6113 - GROUP INSURANCE</v>
      </c>
      <c r="C24" s="11"/>
      <c r="D24" s="2">
        <v>683.68</v>
      </c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4" customFormat="1" hidden="1" outlineLevel="1" x14ac:dyDescent="0.25">
      <c r="A25" s="35"/>
      <c r="B25" s="10" t="str">
        <f>CONCATENATE("          ","6114", " - ","STATE UNEMPLOYMENT INSURANCE")</f>
        <v xml:space="preserve">          6114 - STATE UNEMPLOYMENT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0" t="str">
        <f>CONCATENATE("          ","6115", " - ","P.E.R.S.")</f>
        <v xml:space="preserve">          6115 - P.E.R.S.</v>
      </c>
      <c r="C26" s="11"/>
      <c r="D26" s="2">
        <v>321.57</v>
      </c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4" customFormat="1" hidden="1" outlineLevel="1" x14ac:dyDescent="0.25">
      <c r="A27" s="35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0" t="str">
        <f>CONCATENATE("          ","6118", " - ","VACATION")</f>
        <v xml:space="preserve">          6118 - VACATION</v>
      </c>
      <c r="C28" s="11"/>
      <c r="D28" s="2">
        <v>239.72</v>
      </c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4" customFormat="1" hidden="1" outlineLevel="1" x14ac:dyDescent="0.25">
      <c r="A29" s="35"/>
      <c r="B29" s="10" t="str">
        <f>CONCATENATE("          ","6119", " - ","SICK LEAVE")</f>
        <v xml:space="preserve">          6119 - SICK LEAVE</v>
      </c>
      <c r="C29" s="11"/>
      <c r="D29" s="2">
        <v>191.88</v>
      </c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4" customFormat="1" collapsed="1" x14ac:dyDescent="0.25">
      <c r="A30" s="35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SUM(OSRRefD21_1x_8)</f>
        <v>0</v>
      </c>
      <c r="M30" s="1">
        <f>SUM(OSRRefD21_1x_9)</f>
        <v>0</v>
      </c>
      <c r="N30" s="1">
        <f>SUM(OSRRefE21_1x_0)</f>
        <v>0</v>
      </c>
      <c r="O30" s="1">
        <f>SUM(OSRRefE21_1x_1)</f>
        <v>0</v>
      </c>
      <c r="Q30" s="2">
        <f>SUM(OSRRefD20_1x)+IFERROR(SUM(OSRRefE20_1x),0)</f>
        <v>2080</v>
      </c>
    </row>
    <row r="31" spans="1:17" s="34" customFormat="1" hidden="1" outlineLevel="1" x14ac:dyDescent="0.25">
      <c r="A31" s="35"/>
      <c r="B31" s="10" t="str">
        <f>CONCATENATE("          ","6001", " - ","ADMINISTRATIVE SALARIES")</f>
        <v xml:space="preserve">          6001 - ADMINISTRATIVE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25">
      <c r="A32" s="35"/>
      <c r="B32" s="10" t="str">
        <f>CONCATENATE("          ","6002", " - ","STAFF SALARIES")</f>
        <v xml:space="preserve">          6002 - STAFF SALARIES</v>
      </c>
      <c r="C32" s="11"/>
      <c r="D32" s="2">
        <v>2080</v>
      </c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4" customFormat="1" hidden="1" outlineLevel="1" x14ac:dyDescent="0.25">
      <c r="A33" s="35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0" t="str">
        <f>CONCATENATE("          ","6004", " - ","STAFF HOURLY")</f>
        <v xml:space="preserve">          6004 - STAFF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25">
      <c r="A35" s="35"/>
      <c r="B35" s="10" t="str">
        <f>CONCATENATE("          ","6005", " - ","TEMPORARY WAGES-HOURLY")</f>
        <v xml:space="preserve">          6005 - TEMPORARY WAGES-HOURLY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25">
      <c r="A36" s="35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0" t="str">
        <f>CONCATENATE("          ","6007", " - ","STUDENT HOURLY")</f>
        <v xml:space="preserve">          6007 - STUDENT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25">
      <c r="A38" s="35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25">
      <c r="A39" s="35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SUM(OSRRefD21_2x_8)</f>
        <v>0</v>
      </c>
      <c r="M41" s="1">
        <f>SUM(OSRRefD21_2x_9)</f>
        <v>0</v>
      </c>
      <c r="N41" s="1">
        <f>SUM(OSRRefE21_2x_0)</f>
        <v>0</v>
      </c>
      <c r="O41" s="1">
        <f>SUM(OSRRefE21_2x_1)</f>
        <v>0</v>
      </c>
      <c r="Q41" s="2">
        <f>SUM(OSRRefD20_2x)+IFERROR(SUM(OSRRefE20_2x),0)</f>
        <v>0</v>
      </c>
    </row>
    <row r="42" spans="1:17" s="34" customFormat="1" hidden="1" outlineLevel="1" x14ac:dyDescent="0.25">
      <c r="A42" s="35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25">
      <c r="A43" s="35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SUM(OSRRefD21_3x_8)</f>
        <v>0</v>
      </c>
      <c r="M43" s="1">
        <f>SUM(OSRRefD21_3x_9)</f>
        <v>0</v>
      </c>
      <c r="N43" s="1">
        <f>SUM(OSRRefE21_3x_0)</f>
        <v>0</v>
      </c>
      <c r="O43" s="1">
        <f>SUM(OSRRefE21_3x_1)</f>
        <v>0</v>
      </c>
      <c r="Q43" s="2">
        <f>SUM(OSRRefD20_3x)+IFERROR(SUM(OSRRefE20_3x),0)</f>
        <v>0</v>
      </c>
    </row>
    <row r="44" spans="1:17" s="34" customFormat="1" hidden="1" outlineLevel="1" x14ac:dyDescent="0.25">
      <c r="A44" s="35"/>
      <c r="B44" s="10" t="str">
        <f>CONCATENATE("          ","6381", " - ","BANK/CREDIT CARD FEES")</f>
        <v xml:space="preserve">          6381 - BANK/CREDIT CARD FEES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25">
      <c r="A45" s="35"/>
      <c r="B45" s="11" t="str">
        <f>CONCATENATE("     ","Depreciation                                      ")</f>
        <v xml:space="preserve">     Depreciation                                      </v>
      </c>
      <c r="C45" s="11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SUM(OSRRefD21_4x_6)</f>
        <v>2017.34</v>
      </c>
      <c r="K45" s="1">
        <f>SUM(OSRRefD21_4x_7)</f>
        <v>2017.34</v>
      </c>
      <c r="L45" s="1">
        <f>SUM(OSRRefD21_4x_8)</f>
        <v>2017.34</v>
      </c>
      <c r="M45" s="1">
        <f>SUM(OSRRefD21_4x_9)</f>
        <v>2017.34</v>
      </c>
      <c r="N45" s="1">
        <f>SUM(OSRRefE21_4x_0)</f>
        <v>2017</v>
      </c>
      <c r="O45" s="1">
        <f>SUM(OSRRefE21_4x_1)</f>
        <v>2017</v>
      </c>
      <c r="Q45" s="2">
        <f>SUM(OSRRefD20_4x)+IFERROR(SUM(OSRRefE20_4x),0)</f>
        <v>24207.399999999998</v>
      </c>
    </row>
    <row r="46" spans="1:17" s="34" customFormat="1" hidden="1" outlineLevel="1" x14ac:dyDescent="0.25">
      <c r="A46" s="35"/>
      <c r="B46" s="10" t="str">
        <f>CONCATENATE("          ","6322", " - ","EQUIPMENT DEPRECIATION EXPENSE")</f>
        <v xml:space="preserve">          6322 - EQUIPMENT DEPRECIATION EXPENSE</v>
      </c>
      <c r="C46" s="11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2017.34</v>
      </c>
      <c r="K46" s="2">
        <v>2017.34</v>
      </c>
      <c r="L46" s="2">
        <v>2017.34</v>
      </c>
      <c r="M46" s="2">
        <v>2017.34</v>
      </c>
      <c r="N46" s="2">
        <v>2017</v>
      </c>
      <c r="O46" s="2">
        <v>2017</v>
      </c>
      <c r="P46" s="9"/>
      <c r="Q46" s="2">
        <f>SUM(OSRRefD21_4_0x)+IFERROR(SUM(OSRRefE21_4_0x),0)</f>
        <v>24207.399999999998</v>
      </c>
    </row>
    <row r="47" spans="1:17" s="34" customFormat="1" collapsed="1" x14ac:dyDescent="0.25">
      <c r="A47" s="35"/>
      <c r="B47" s="11" t="str">
        <f>CONCATENATE("     ","Rent                                              ")</f>
        <v xml:space="preserve">     Rent                   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SUM(OSRRefE21_5x_0)</f>
        <v>0</v>
      </c>
      <c r="O47" s="1">
        <f>SUM(OSRRefE21_5x_1)</f>
        <v>0</v>
      </c>
      <c r="Q47" s="2">
        <f>SUM(OSRRefD20_5x)+IFERROR(SUM(OSRRefE20_5x),0)</f>
        <v>0</v>
      </c>
    </row>
    <row r="48" spans="1:17" s="34" customFormat="1" hidden="1" outlineLevel="1" x14ac:dyDescent="0.25">
      <c r="A48" s="35"/>
      <c r="B48" s="10" t="str">
        <f>CONCATENATE("          ","6273", " - ","RENT")</f>
        <v xml:space="preserve">          6273 - RENT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25">
      <c r="A49" s="35"/>
      <c r="B49" s="11" t="str">
        <f>CONCATENATE("     ","Repair and Maintenance                            ")</f>
        <v xml:space="preserve">     Repair and Maintenance                            </v>
      </c>
      <c r="C49" s="11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SUM(OSRRefD21_6x_6)</f>
        <v>0</v>
      </c>
      <c r="K49" s="1">
        <f>SUM(OSRRefD21_6x_7)</f>
        <v>0</v>
      </c>
      <c r="L49" s="1">
        <f>SUM(OSRRefD21_6x_8)</f>
        <v>72.349999999999994</v>
      </c>
      <c r="M49" s="1">
        <f>SUM(OSRRefD21_6x_9)</f>
        <v>0</v>
      </c>
      <c r="N49" s="1">
        <f>SUM(OSRRefE21_6x_0)</f>
        <v>0</v>
      </c>
      <c r="O49" s="1">
        <f>SUM(OSRRefE21_6x_1)</f>
        <v>0</v>
      </c>
      <c r="Q49" s="2">
        <f>SUM(OSRRefD20_6x)+IFERROR(SUM(OSRRefE20_6x),0)</f>
        <v>295.64999999999998</v>
      </c>
    </row>
    <row r="50" spans="1:17" s="34" customFormat="1" hidden="1" outlineLevel="1" x14ac:dyDescent="0.25">
      <c r="A50" s="35"/>
      <c r="B50" s="10" t="str">
        <f>CONCATENATE("          ","6373", " - ","MAINTENANCE CONTRACTS")</f>
        <v xml:space="preserve">          6373 - MAINTENANCE CONTRACTS</v>
      </c>
      <c r="C50" s="11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>
        <v>72.349999999999994</v>
      </c>
      <c r="M50" s="2"/>
      <c r="N50" s="2"/>
      <c r="O50" s="2"/>
      <c r="P50" s="9"/>
      <c r="Q50" s="2">
        <f>SUM(OSRRefD21_6_0x)+IFERROR(SUM(OSRRefE21_6_0x),0)</f>
        <v>295.64999999999998</v>
      </c>
    </row>
    <row r="51" spans="1:17" s="34" customFormat="1" hidden="1" outlineLevel="1" x14ac:dyDescent="0.25">
      <c r="A51" s="35"/>
      <c r="B51" s="10" t="str">
        <f>CONCATENATE("          ","6375", " - ","OUTSIDE REPAIRS &amp; MAINTENANCE")</f>
        <v xml:space="preserve">          6375 - OUTSIDE REPAIRS &amp; MAINTENANCE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4" customFormat="1" collapsed="1" x14ac:dyDescent="0.25">
      <c r="A52" s="35"/>
      <c r="B52" s="11" t="str">
        <f>CONCATENATE("     ","Services                                          ")</f>
        <v xml:space="preserve">     Services                                          </v>
      </c>
      <c r="C52" s="11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SUM(OSRRefD21_7x_9)</f>
        <v>0</v>
      </c>
      <c r="N52" s="1">
        <f>SUM(OSRRefE21_7x_0)</f>
        <v>0</v>
      </c>
      <c r="O52" s="1">
        <f>SUM(OSRRefE21_7x_1)</f>
        <v>0</v>
      </c>
      <c r="Q52" s="2">
        <f>SUM(OSRRefD20_7x)+IFERROR(SUM(OSRRefE20_7x),0)</f>
        <v>-1053.52</v>
      </c>
    </row>
    <row r="53" spans="1:17" s="34" customFormat="1" hidden="1" outlineLevel="1" x14ac:dyDescent="0.25">
      <c r="A53" s="35"/>
      <c r="B53" s="10" t="str">
        <f>CONCATENATE("          ","6282", " - ","JANITORIAL/EXTERMINATOR EXPENS")</f>
        <v xml:space="preserve">          6282 - JANITORIAL/EXTERMINATOR EXPENS</v>
      </c>
      <c r="C53" s="11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4" customFormat="1" hidden="1" outlineLevel="1" x14ac:dyDescent="0.25">
      <c r="A54" s="35"/>
      <c r="B54" s="10" t="str">
        <f>CONCATENATE("          ","6285", " - ","JANITORIAL SERVICES")</f>
        <v xml:space="preserve">          6285 - JANITORIAL SERVICES</v>
      </c>
      <c r="C54" s="11"/>
      <c r="D54" s="2">
        <v>-486.24</v>
      </c>
      <c r="E54" s="2"/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4" customFormat="1" collapsed="1" x14ac:dyDescent="0.25">
      <c r="A55" s="35"/>
      <c r="B55" s="11" t="str">
        <f>CONCATENATE("     ","Supplies                                          ")</f>
        <v xml:space="preserve">     Supplies                                          </v>
      </c>
      <c r="C55" s="11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SUM(OSRRefE21_8x_0)</f>
        <v>0</v>
      </c>
      <c r="O55" s="1">
        <f>SUM(OSRRefE21_8x_1)</f>
        <v>0</v>
      </c>
      <c r="Q55" s="2">
        <f>SUM(OSRRefD20_8x)+IFERROR(SUM(OSRRefE20_8x),0)</f>
        <v>131.30000000000001</v>
      </c>
    </row>
    <row r="56" spans="1:17" s="34" customFormat="1" hidden="1" outlineLevel="1" x14ac:dyDescent="0.25">
      <c r="A56" s="35"/>
      <c r="B56" s="10" t="str">
        <f>CONCATENATE("          ","6235", " - ","COVID-19 EXPENSES")</f>
        <v xml:space="preserve">          6235 - COVID-19 EXPENSES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4" customFormat="1" hidden="1" outlineLevel="1" x14ac:dyDescent="0.25">
      <c r="A57" s="35"/>
      <c r="B57" s="10" t="str">
        <f>CONCATENATE("          ","6241", " - ","OFFICE EXPENSE")</f>
        <v xml:space="preserve">          6241 - OFFICE EXPENSE</v>
      </c>
      <c r="C57" s="11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4" customFormat="1" hidden="1" outlineLevel="1" x14ac:dyDescent="0.25">
      <c r="A58" s="35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4" customFormat="1" collapsed="1" x14ac:dyDescent="0.25">
      <c r="A59" s="35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SUM(OSRRefD21_9x_0)</f>
        <v>36</v>
      </c>
      <c r="E59" s="1">
        <f>SUM(OSRRefD21_9x_1)</f>
        <v>36</v>
      </c>
      <c r="F59" s="1">
        <f>SUM(OSRRefD21_9x_2)</f>
        <v>0</v>
      </c>
      <c r="G59" s="1">
        <f>SUM(OSRRefD21_9x_3)</f>
        <v>13.2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SUM(OSRRefE21_9x_0)</f>
        <v>0</v>
      </c>
      <c r="O59" s="1">
        <f>SUM(OSRRefE21_9x_1)</f>
        <v>0</v>
      </c>
      <c r="Q59" s="2">
        <f>SUM(OSRRefD20_9x)+IFERROR(SUM(OSRRefE20_9x),0)</f>
        <v>85.2</v>
      </c>
    </row>
    <row r="60" spans="1:17" s="34" customFormat="1" hidden="1" outlineLevel="1" x14ac:dyDescent="0.25">
      <c r="A60" s="35"/>
      <c r="B60" s="10" t="str">
        <f>CONCATENATE("          ","6309", " - ","TELEPHONE")</f>
        <v xml:space="preserve">          6309 - TELEPHONE</v>
      </c>
      <c r="C60" s="11"/>
      <c r="D60" s="2">
        <v>36</v>
      </c>
      <c r="E60" s="2">
        <v>36</v>
      </c>
      <c r="F60" s="2"/>
      <c r="G60" s="2">
        <v>13.2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85.2</v>
      </c>
    </row>
    <row r="61" spans="1:17" s="34" customFormat="1" collapsed="1" x14ac:dyDescent="0.25">
      <c r="A61" s="35"/>
      <c r="B61" s="11" t="str">
        <f>CONCATENATE("     ","Utilities                                         ")</f>
        <v xml:space="preserve">     Utilities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208</v>
      </c>
      <c r="H61" s="1">
        <f>SUM(OSRRefD21_10x_4)</f>
        <v>208</v>
      </c>
      <c r="I61" s="1">
        <f>SUM(OSRRefD21_10x_5)</f>
        <v>208</v>
      </c>
      <c r="J61" s="1">
        <f>SUM(OSRRefD21_10x_6)</f>
        <v>208</v>
      </c>
      <c r="K61" s="1">
        <f>SUM(OSRRefD21_10x_7)</f>
        <v>208</v>
      </c>
      <c r="L61" s="1">
        <f>SUM(OSRRefD21_10x_8)</f>
        <v>-293</v>
      </c>
      <c r="M61" s="1">
        <f>SUM(OSRRefD21_10x_9)</f>
        <v>208</v>
      </c>
      <c r="N61" s="1">
        <f>SUM(OSRRefE21_10x_0)</f>
        <v>0</v>
      </c>
      <c r="O61" s="1">
        <f>SUM(OSRRefE21_10x_1)</f>
        <v>0</v>
      </c>
      <c r="Q61" s="2">
        <f>SUM(OSRRefD20_10x)+IFERROR(SUM(OSRRefE20_10x),0)</f>
        <v>955</v>
      </c>
    </row>
    <row r="62" spans="1:17" s="34" customFormat="1" hidden="1" outlineLevel="1" x14ac:dyDescent="0.25">
      <c r="A62" s="35"/>
      <c r="B62" s="10" t="str">
        <f>CONCATENATE("          ","6274", " - ","UTILITIES")</f>
        <v xml:space="preserve">          6274 - UTILITIES</v>
      </c>
      <c r="C62" s="11"/>
      <c r="D62" s="2"/>
      <c r="E62" s="2"/>
      <c r="F62" s="2"/>
      <c r="G62" s="2">
        <v>208</v>
      </c>
      <c r="H62" s="2">
        <v>208</v>
      </c>
      <c r="I62" s="2">
        <v>208</v>
      </c>
      <c r="J62" s="2">
        <v>208</v>
      </c>
      <c r="K62" s="2">
        <v>208</v>
      </c>
      <c r="L62" s="2">
        <v>-293</v>
      </c>
      <c r="M62" s="2">
        <v>208</v>
      </c>
      <c r="N62" s="2">
        <v>0</v>
      </c>
      <c r="O62" s="2">
        <v>0</v>
      </c>
      <c r="P62" s="9"/>
      <c r="Q62" s="2">
        <f>SUM(OSRRefD21_10_0x)+IFERROR(SUM(OSRRefE21_10_0x),0)</f>
        <v>955</v>
      </c>
    </row>
    <row r="63" spans="1:17" s="30" customFormat="1" x14ac:dyDescent="0.25">
      <c r="A63" s="21"/>
      <c r="B63" s="21"/>
      <c r="C63" s="2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25">
      <c r="A64" s="23"/>
      <c r="B64" s="16" t="s">
        <v>291</v>
      </c>
      <c r="C64" s="22"/>
      <c r="D64" s="3">
        <f t="shared" ref="D64:M64" si="3">0</f>
        <v>0</v>
      </c>
      <c r="E64" s="3">
        <f t="shared" si="3"/>
        <v>0</v>
      </c>
      <c r="F64" s="3">
        <f t="shared" si="3"/>
        <v>0</v>
      </c>
      <c r="G64" s="3">
        <f t="shared" si="3"/>
        <v>0</v>
      </c>
      <c r="H64" s="3">
        <f t="shared" si="3"/>
        <v>0</v>
      </c>
      <c r="I64" s="3">
        <f t="shared" si="3"/>
        <v>0</v>
      </c>
      <c r="J64" s="3">
        <f t="shared" si="3"/>
        <v>0</v>
      </c>
      <c r="K64" s="3">
        <f t="shared" si="3"/>
        <v>0</v>
      </c>
      <c r="L64" s="3">
        <f t="shared" si="3"/>
        <v>0</v>
      </c>
      <c r="M64" s="3">
        <f t="shared" si="3"/>
        <v>0</v>
      </c>
      <c r="N64" s="3"/>
      <c r="O64" s="3"/>
      <c r="Q64" s="2">
        <f>SUM(OSRRefD23_0x)+IFERROR(SUM(OSRRefE23_0x),0)</f>
        <v>0</v>
      </c>
    </row>
    <row r="65" spans="1:17" x14ac:dyDescent="0.25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25">
      <c r="A66" s="6"/>
      <c r="B66" s="17" t="s">
        <v>274</v>
      </c>
      <c r="C66" s="17"/>
      <c r="D66" s="8">
        <f t="shared" ref="D66:O66" si="4">IFERROR(+D17-D20+D64, 0)</f>
        <v>-5016.2</v>
      </c>
      <c r="E66" s="8">
        <f t="shared" si="4"/>
        <v>-610.52</v>
      </c>
      <c r="F66" s="8">
        <f t="shared" si="4"/>
        <v>-2179.67</v>
      </c>
      <c r="G66" s="8">
        <f t="shared" si="4"/>
        <v>-2238.54</v>
      </c>
      <c r="H66" s="8">
        <f t="shared" si="4"/>
        <v>-2225.34</v>
      </c>
      <c r="I66" s="8">
        <f t="shared" si="4"/>
        <v>-2297.69</v>
      </c>
      <c r="J66" s="8">
        <f t="shared" si="4"/>
        <v>-2225.34</v>
      </c>
      <c r="K66" s="8">
        <f t="shared" si="4"/>
        <v>-2225.34</v>
      </c>
      <c r="L66" s="8">
        <f t="shared" si="4"/>
        <v>-1796.69</v>
      </c>
      <c r="M66" s="8">
        <f t="shared" si="4"/>
        <v>-2225.34</v>
      </c>
      <c r="N66" s="8">
        <f t="shared" si="4"/>
        <v>-2017</v>
      </c>
      <c r="O66" s="8">
        <f t="shared" si="4"/>
        <v>-2017</v>
      </c>
      <c r="Q66" s="8">
        <f>IFERROR(+Q17-Q20+Q64, 0)</f>
        <v>-27074.67</v>
      </c>
    </row>
    <row r="67" spans="1:17" s="6" customFormat="1" x14ac:dyDescent="0.25">
      <c r="B67" s="16"/>
      <c r="C67" s="16"/>
      <c r="D67" s="4">
        <f t="shared" ref="D67:O67" si="5">IFERROR(D66/D10, 0)</f>
        <v>0</v>
      </c>
      <c r="E67" s="4">
        <f t="shared" si="5"/>
        <v>0</v>
      </c>
      <c r="F67" s="4">
        <f t="shared" si="5"/>
        <v>0</v>
      </c>
      <c r="G67" s="4">
        <f t="shared" si="5"/>
        <v>0</v>
      </c>
      <c r="H67" s="4">
        <f t="shared" si="5"/>
        <v>0</v>
      </c>
      <c r="I67" s="4">
        <f t="shared" si="5"/>
        <v>0</v>
      </c>
      <c r="J67" s="4">
        <f t="shared" si="5"/>
        <v>0</v>
      </c>
      <c r="K67" s="4">
        <f t="shared" si="5"/>
        <v>0</v>
      </c>
      <c r="L67" s="4">
        <f t="shared" si="5"/>
        <v>0</v>
      </c>
      <c r="M67" s="4">
        <f t="shared" si="5"/>
        <v>0</v>
      </c>
      <c r="N67" s="4">
        <f t="shared" si="5"/>
        <v>0</v>
      </c>
      <c r="O67" s="4">
        <f t="shared" si="5"/>
        <v>0</v>
      </c>
      <c r="P67" s="18"/>
      <c r="Q67" s="4">
        <f>IFERROR(Q66/Q10, 0)</f>
        <v>0</v>
      </c>
    </row>
    <row r="68" spans="1:17" x14ac:dyDescent="0.25">
      <c r="A68" s="5"/>
      <c r="B68" s="6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25">
      <c r="A69" s="25"/>
      <c r="B69" s="6" t="s">
        <v>125</v>
      </c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.75" thickBot="1" x14ac:dyDescent="0.3">
      <c r="A71" s="6"/>
      <c r="B71" s="17" t="s">
        <v>124</v>
      </c>
      <c r="C71" s="17"/>
      <c r="D71" s="7">
        <f t="shared" ref="D71:O71" si="6">IFERROR(+D66-D69, 0)</f>
        <v>-5016.2</v>
      </c>
      <c r="E71" s="7">
        <f t="shared" si="6"/>
        <v>-610.52</v>
      </c>
      <c r="F71" s="7">
        <f t="shared" si="6"/>
        <v>-2179.67</v>
      </c>
      <c r="G71" s="7">
        <f t="shared" si="6"/>
        <v>-2238.54</v>
      </c>
      <c r="H71" s="7">
        <f t="shared" si="6"/>
        <v>-2225.34</v>
      </c>
      <c r="I71" s="7">
        <f t="shared" si="6"/>
        <v>-2297.69</v>
      </c>
      <c r="J71" s="7">
        <f t="shared" si="6"/>
        <v>-2225.34</v>
      </c>
      <c r="K71" s="7">
        <f t="shared" si="6"/>
        <v>-2225.34</v>
      </c>
      <c r="L71" s="7">
        <f t="shared" si="6"/>
        <v>-1796.69</v>
      </c>
      <c r="M71" s="7">
        <f t="shared" si="6"/>
        <v>-2225.34</v>
      </c>
      <c r="N71" s="7">
        <f t="shared" si="6"/>
        <v>-2017</v>
      </c>
      <c r="O71" s="7">
        <f t="shared" si="6"/>
        <v>-2017</v>
      </c>
      <c r="Q71" s="7">
        <f>IFERROR(+Q66-Q69, 0)</f>
        <v>-27074.67</v>
      </c>
    </row>
    <row r="72" spans="1:17" ht="15.75" thickTop="1" x14ac:dyDescent="0.25">
      <c r="A72" s="5"/>
      <c r="B72" s="5"/>
      <c r="C72" s="5"/>
      <c r="D72" s="4">
        <f t="shared" ref="D72:O72" si="7">IFERROR(D71/D10, 0)</f>
        <v>0</v>
      </c>
      <c r="E72" s="4">
        <f t="shared" si="7"/>
        <v>0</v>
      </c>
      <c r="F72" s="4">
        <f t="shared" si="7"/>
        <v>0</v>
      </c>
      <c r="G72" s="4">
        <f t="shared" si="7"/>
        <v>0</v>
      </c>
      <c r="H72" s="4">
        <f t="shared" si="7"/>
        <v>0</v>
      </c>
      <c r="I72" s="4">
        <f t="shared" si="7"/>
        <v>0</v>
      </c>
      <c r="J72" s="4">
        <f t="shared" si="7"/>
        <v>0</v>
      </c>
      <c r="K72" s="4">
        <f t="shared" si="7"/>
        <v>0</v>
      </c>
      <c r="L72" s="4">
        <f t="shared" si="7"/>
        <v>0</v>
      </c>
      <c r="M72" s="4">
        <f t="shared" si="7"/>
        <v>0</v>
      </c>
      <c r="N72" s="4">
        <f t="shared" si="7"/>
        <v>0</v>
      </c>
      <c r="O72" s="4">
        <f t="shared" si="7"/>
        <v>0</v>
      </c>
      <c r="P72" s="18"/>
      <c r="Q72" s="4">
        <f>IFERROR(Q71/Q10, 0)</f>
        <v>0</v>
      </c>
    </row>
    <row r="73" spans="1:17" x14ac:dyDescent="0.2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292</v>
      </c>
      <c r="C75" s="17"/>
      <c r="D75" s="7">
        <f t="shared" ref="D75:O75" si="8">IFERROR(SUM(D71:D74), 0)</f>
        <v>-5016.2</v>
      </c>
      <c r="E75" s="7">
        <f t="shared" si="8"/>
        <v>-610.52</v>
      </c>
      <c r="F75" s="7">
        <f t="shared" si="8"/>
        <v>-2179.67</v>
      </c>
      <c r="G75" s="7">
        <f t="shared" si="8"/>
        <v>-2238.54</v>
      </c>
      <c r="H75" s="7">
        <f t="shared" si="8"/>
        <v>-2225.34</v>
      </c>
      <c r="I75" s="7">
        <f t="shared" si="8"/>
        <v>-2297.69</v>
      </c>
      <c r="J75" s="7">
        <f t="shared" si="8"/>
        <v>-2225.34</v>
      </c>
      <c r="K75" s="7">
        <f t="shared" si="8"/>
        <v>-2225.34</v>
      </c>
      <c r="L75" s="7">
        <f t="shared" si="8"/>
        <v>-1796.69</v>
      </c>
      <c r="M75" s="7">
        <f t="shared" si="8"/>
        <v>-2225.34</v>
      </c>
      <c r="N75" s="7">
        <f t="shared" si="8"/>
        <v>-2017</v>
      </c>
      <c r="O75" s="7">
        <f t="shared" si="8"/>
        <v>-2017</v>
      </c>
      <c r="Q75" s="7">
        <f>IFERROR(SUM(Q71:Q74), 0)</f>
        <v>-27074.67</v>
      </c>
    </row>
    <row r="76" spans="1:17" ht="15.75" thickTop="1" x14ac:dyDescent="0.25">
      <c r="A76" s="5"/>
      <c r="C76" s="5"/>
      <c r="D76" s="4">
        <f t="shared" ref="D76:O76" si="9">IFERROR(D75/D10, 0)</f>
        <v>0</v>
      </c>
      <c r="E76" s="4">
        <f t="shared" si="9"/>
        <v>0</v>
      </c>
      <c r="F76" s="4">
        <f t="shared" si="9"/>
        <v>0</v>
      </c>
      <c r="G76" s="4">
        <f t="shared" si="9"/>
        <v>0</v>
      </c>
      <c r="H76" s="4">
        <f t="shared" si="9"/>
        <v>0</v>
      </c>
      <c r="I76" s="4">
        <f t="shared" si="9"/>
        <v>0</v>
      </c>
      <c r="J76" s="4">
        <f t="shared" si="9"/>
        <v>0</v>
      </c>
      <c r="K76" s="4">
        <f t="shared" si="9"/>
        <v>0</v>
      </c>
      <c r="L76" s="4">
        <f t="shared" si="9"/>
        <v>0</v>
      </c>
      <c r="M76" s="4">
        <f t="shared" si="9"/>
        <v>0</v>
      </c>
      <c r="N76" s="4">
        <f t="shared" si="9"/>
        <v>0</v>
      </c>
      <c r="O76" s="4">
        <f t="shared" si="9"/>
        <v>0</v>
      </c>
      <c r="P76" s="18"/>
      <c r="Q76" s="4">
        <f>IFERROR(Q75/Q10, 0)</f>
        <v>0</v>
      </c>
    </row>
    <row r="77" spans="1:17" x14ac:dyDescent="0.25">
      <c r="A77" s="5"/>
      <c r="B77" s="27">
        <v>44330.012769791669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A78" s="5"/>
      <c r="B78" s="31" t="s">
        <v>54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  <row r="79" spans="1:17" x14ac:dyDescent="0.25">
      <c r="A79" s="5"/>
      <c r="B79" s="26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Q79" s="13"/>
    </row>
    <row r="80" spans="1:17" x14ac:dyDescent="0.25"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218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3"/>
      <c r="B12" s="16" t="s">
        <v>217</v>
      </c>
      <c r="C12" s="22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SUM(OSRRefD14x_7)</f>
        <v>0</v>
      </c>
      <c r="L12" s="3">
        <f>SUM(OSRRefD14x_8)</f>
        <v>176.4</v>
      </c>
      <c r="M12" s="3">
        <f>SUM(OSRRefD14x_9)</f>
        <v>176.4</v>
      </c>
      <c r="N12" s="3">
        <f>SUM(OSRRefE14x_0)</f>
        <v>0</v>
      </c>
      <c r="O12" s="3">
        <f>SUM(OSRRefE14x_1)</f>
        <v>0</v>
      </c>
      <c r="Q12" s="3">
        <f>SUM(OSRRefG14x)</f>
        <v>10994.04</v>
      </c>
    </row>
    <row r="13" spans="1:18" s="9" customFormat="1" hidden="1" outlineLevel="1" x14ac:dyDescent="0.25">
      <c r="A13" s="23"/>
      <c r="B13" s="10" t="str">
        <f>CONCATENATE("          ","5053", " - ","PURCHASES @ COST-FOOD")</f>
        <v xml:space="preserve">          5053 - PURCHASES @ COST-FOOD</v>
      </c>
      <c r="C13" s="22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>
        <v>176.4</v>
      </c>
      <c r="M13" s="2">
        <v>176.4</v>
      </c>
      <c r="N13" s="2"/>
      <c r="O13" s="2"/>
      <c r="Q13" s="2">
        <f>SUM(OSRRefD14_0x)+IFERROR(SUM(OSRRefE14_0x),0)</f>
        <v>-634.96</v>
      </c>
    </row>
    <row r="14" spans="1:18" s="9" customFormat="1" hidden="1" outlineLevel="1" x14ac:dyDescent="0.25">
      <c r="A14" s="23"/>
      <c r="B14" s="10" t="str">
        <f>CONCATENATE("          ","5059", " - ","PURCHASES @ COST-FOOD")</f>
        <v xml:space="preserve">          5059 - PURCHASES @ COST-FOOD</v>
      </c>
      <c r="C14" s="22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IFERROR(+D10-D12, 0)</f>
        <v>0</v>
      </c>
      <c r="E16" s="8">
        <f t="shared" si="1"/>
        <v>688.96</v>
      </c>
      <c r="F16" s="8">
        <f t="shared" si="1"/>
        <v>0</v>
      </c>
      <c r="G16" s="8">
        <f t="shared" si="1"/>
        <v>-11536.83</v>
      </c>
      <c r="H16" s="8">
        <f t="shared" si="1"/>
        <v>0</v>
      </c>
      <c r="I16" s="8">
        <f t="shared" si="1"/>
        <v>206.63</v>
      </c>
      <c r="J16" s="8">
        <f t="shared" si="1"/>
        <v>0</v>
      </c>
      <c r="K16" s="8">
        <f t="shared" si="1"/>
        <v>0</v>
      </c>
      <c r="L16" s="8">
        <f t="shared" si="1"/>
        <v>-176.4</v>
      </c>
      <c r="M16" s="8">
        <f t="shared" si="1"/>
        <v>-176.4</v>
      </c>
      <c r="N16" s="8">
        <f t="shared" si="1"/>
        <v>0</v>
      </c>
      <c r="O16" s="8">
        <f t="shared" si="1"/>
        <v>0</v>
      </c>
      <c r="Q16" s="8">
        <f>IFERROR(+Q10-Q12, 0)</f>
        <v>-10994.04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14436.4</v>
      </c>
      <c r="E19" s="14">
        <f>SUM(OSRRefD20x_1)</f>
        <v>9986.7300000000014</v>
      </c>
      <c r="F19" s="14">
        <f>SUM(OSRRefD20x_2)</f>
        <v>10652.890000000001</v>
      </c>
      <c r="G19" s="14">
        <f>SUM(OSRRefD20x_3)</f>
        <v>11361.830000000002</v>
      </c>
      <c r="H19" s="14">
        <f>SUM(OSRRefD20x_4)</f>
        <v>10799.75</v>
      </c>
      <c r="I19" s="14">
        <f>SUM(OSRRefD20x_5)</f>
        <v>11292.42</v>
      </c>
      <c r="J19" s="14">
        <f>SUM(OSRRefD20x_6)</f>
        <v>11903.55</v>
      </c>
      <c r="K19" s="14">
        <f>SUM(OSRRefD20x_7)</f>
        <v>11082.15</v>
      </c>
      <c r="L19" s="14">
        <f>SUM(OSRRefD20x_8)</f>
        <v>8951.6200000000008</v>
      </c>
      <c r="M19" s="14">
        <f>SUM(OSRRefD20x_9)</f>
        <v>10443.15</v>
      </c>
      <c r="N19" s="14">
        <f>SUM(OSRRefE20x_0)</f>
        <v>17934.812864</v>
      </c>
      <c r="O19" s="14">
        <f>SUM(OSRRefE20x_1)</f>
        <v>17934.812864</v>
      </c>
      <c r="Q19" s="14">
        <f>SUM(OSRRefG20x)</f>
        <v>146780.115728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SUM(OSRRefE21_0x_0)</f>
        <v>3254.2928639999996</v>
      </c>
      <c r="O20" s="1">
        <f>SUM(OSRRefE21_0x_1)</f>
        <v>3254.2928639999996</v>
      </c>
      <c r="Q20" s="2">
        <f>SUM(OSRRefD20_0x)+IFERROR(SUM(OSRRefE20_0x),0)</f>
        <v>9398.3057279999994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>
        <v>159.12</v>
      </c>
      <c r="E21" s="2"/>
      <c r="F21" s="2"/>
      <c r="G21" s="2"/>
      <c r="H21" s="2"/>
      <c r="I21" s="2"/>
      <c r="J21" s="2"/>
      <c r="K21" s="2"/>
      <c r="L21" s="2"/>
      <c r="M21" s="2"/>
      <c r="N21" s="2">
        <v>343.83398399999999</v>
      </c>
      <c r="O21" s="2">
        <v>343.83398399999999</v>
      </c>
      <c r="P21" s="9"/>
      <c r="Q21" s="2">
        <f>SUM(OSRRefD21_0_0x)+IFERROR(SUM(OSRRefE21_0_0x),0)</f>
        <v>846.78796799999998</v>
      </c>
    </row>
    <row r="22" spans="1:17" s="34" customFormat="1" hidden="1" outlineLevel="1" x14ac:dyDescent="0.25">
      <c r="A22" s="35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83.116799999999998</v>
      </c>
      <c r="O22" s="2">
        <v>83.116799999999998</v>
      </c>
      <c r="P22" s="9"/>
      <c r="Q22" s="2">
        <f>SUM(OSRRefD21_0_1x)+IFERROR(SUM(OSRRefE21_0_1x),0)</f>
        <v>166.2336</v>
      </c>
    </row>
    <row r="23" spans="1:17" s="34" customFormat="1" hidden="1" outlineLevel="1" x14ac:dyDescent="0.25">
      <c r="A23" s="35"/>
      <c r="B23" s="10" t="str">
        <f>CONCATENATE("          ","6113", " - ","GROUP INSURANCE")</f>
        <v xml:space="preserve">          6113 - GROUP INSURANCE</v>
      </c>
      <c r="C23" s="11"/>
      <c r="D23" s="2">
        <v>1915.63</v>
      </c>
      <c r="E23" s="2"/>
      <c r="F23" s="2"/>
      <c r="G23" s="2"/>
      <c r="H23" s="2"/>
      <c r="I23" s="2"/>
      <c r="J23" s="2"/>
      <c r="K23" s="2"/>
      <c r="L23" s="2"/>
      <c r="M23" s="2"/>
      <c r="N23" s="2">
        <v>1980</v>
      </c>
      <c r="O23" s="2">
        <v>1980</v>
      </c>
      <c r="P23" s="9"/>
      <c r="Q23" s="2">
        <f>SUM(OSRRefD21_0_2x)+IFERROR(SUM(OSRRefE21_0_2x),0)</f>
        <v>5875.63</v>
      </c>
    </row>
    <row r="24" spans="1:17" s="34" customFormat="1" hidden="1" outlineLevel="1" x14ac:dyDescent="0.25">
      <c r="A24" s="35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11.681279999999999</v>
      </c>
      <c r="O24" s="2">
        <v>11.681279999999999</v>
      </c>
      <c r="P24" s="9"/>
      <c r="Q24" s="2">
        <f>SUM(OSRRefD21_0_3x)+IFERROR(SUM(OSRRefE21_0_3x),0)</f>
        <v>23.362559999999998</v>
      </c>
    </row>
    <row r="25" spans="1:17" s="34" customFormat="1" hidden="1" outlineLevel="1" x14ac:dyDescent="0.25">
      <c r="A25" s="35"/>
      <c r="B25" s="10" t="str">
        <f>CONCATENATE("          ","6115", " - ","P.E.R.S.")</f>
        <v xml:space="preserve">          6115 - P.E.R.S.</v>
      </c>
      <c r="C25" s="11"/>
      <c r="D25" s="2">
        <v>458.89</v>
      </c>
      <c r="E25" s="2"/>
      <c r="F25" s="2"/>
      <c r="G25" s="2"/>
      <c r="H25" s="2"/>
      <c r="I25" s="2"/>
      <c r="J25" s="2"/>
      <c r="K25" s="2"/>
      <c r="L25" s="2"/>
      <c r="M25" s="2"/>
      <c r="N25" s="2">
        <v>386.38080000000002</v>
      </c>
      <c r="O25" s="2">
        <v>386.38080000000002</v>
      </c>
      <c r="P25" s="9"/>
      <c r="Q25" s="2">
        <f>SUM(OSRRefD21_0_4x)+IFERROR(SUM(OSRRefE21_0_4x),0)</f>
        <v>1231.6516000000001</v>
      </c>
    </row>
    <row r="26" spans="1:17" s="34" customFormat="1" hidden="1" outlineLevel="1" x14ac:dyDescent="0.25">
      <c r="A26" s="35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1"/>
      <c r="D27" s="2">
        <v>152.1</v>
      </c>
      <c r="E27" s="2"/>
      <c r="F27" s="2"/>
      <c r="G27" s="2"/>
      <c r="H27" s="2"/>
      <c r="I27" s="2"/>
      <c r="J27" s="2"/>
      <c r="K27" s="2"/>
      <c r="L27" s="2"/>
      <c r="M27" s="2"/>
      <c r="N27" s="2">
        <v>224.64</v>
      </c>
      <c r="O27" s="2">
        <v>224.64</v>
      </c>
      <c r="P27" s="9"/>
      <c r="Q27" s="2">
        <f>SUM(OSRRefD21_0_6x)+IFERROR(SUM(OSRRefE21_0_6x),0)</f>
        <v>601.38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1"/>
      <c r="D28" s="2">
        <v>203.98</v>
      </c>
      <c r="E28" s="2"/>
      <c r="F28" s="2"/>
      <c r="G28" s="2"/>
      <c r="H28" s="2"/>
      <c r="I28" s="2"/>
      <c r="J28" s="2"/>
      <c r="K28" s="2"/>
      <c r="L28" s="2"/>
      <c r="M28" s="2"/>
      <c r="N28" s="2">
        <v>224.64</v>
      </c>
      <c r="O28" s="2">
        <v>224.64</v>
      </c>
      <c r="P28" s="9"/>
      <c r="Q28" s="2">
        <f>SUM(OSRRefD21_0_7x)+IFERROR(SUM(OSRRefE21_0_7x),0)</f>
        <v>653.26</v>
      </c>
    </row>
    <row r="29" spans="1:17" s="34" customFormat="1" collapsed="1" x14ac:dyDescent="0.25">
      <c r="A29" s="35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SUM(OSRRefE21_1x_0)</f>
        <v>4043.52</v>
      </c>
      <c r="O29" s="1">
        <f>SUM(OSRRefE21_1x_1)</f>
        <v>4043.52</v>
      </c>
      <c r="Q29" s="2">
        <f>SUM(OSRRefD20_1x)+IFERROR(SUM(OSRRefE20_1x),0)</f>
        <v>8971.0400000000009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1"/>
      <c r="D31" s="2">
        <v>884</v>
      </c>
      <c r="E31" s="2"/>
      <c r="F31" s="2"/>
      <c r="G31" s="2"/>
      <c r="H31" s="2"/>
      <c r="I31" s="2"/>
      <c r="J31" s="2"/>
      <c r="K31" s="2"/>
      <c r="L31" s="2"/>
      <c r="M31" s="2"/>
      <c r="N31" s="2">
        <v>4043.52</v>
      </c>
      <c r="O31" s="2">
        <v>4043.52</v>
      </c>
      <c r="P31" s="9"/>
      <c r="Q31" s="2">
        <f>SUM(OSRRefD21_1_1x)+IFERROR(SUM(OSRRefE21_1_1x),0)</f>
        <v>8971.0400000000009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SUM(OSRRefE21_2x_0)</f>
        <v>0</v>
      </c>
      <c r="O40" s="1">
        <f>SUM(OSRRefE21_2x_1)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SUM(OSRRefE21_3x_0)</f>
        <v>5</v>
      </c>
      <c r="O42" s="1">
        <f>SUM(OSRRefE21_3x_1)</f>
        <v>5</v>
      </c>
      <c r="Q42" s="2">
        <f>SUM(OSRRefD20_3x)+IFERROR(SUM(OSRRefE20_3x),0)</f>
        <v>10</v>
      </c>
    </row>
    <row r="43" spans="1:17" s="34" customFormat="1" hidden="1" outlineLevel="1" x14ac:dyDescent="0.25">
      <c r="A43" s="35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5</v>
      </c>
      <c r="O43" s="2">
        <v>5</v>
      </c>
      <c r="P43" s="9"/>
      <c r="Q43" s="2">
        <f>SUM(OSRRefD21_3_0x)+IFERROR(SUM(OSRRefE21_3_0x),0)</f>
        <v>10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SUM(OSRRefD21_4x_9)</f>
        <v>0</v>
      </c>
      <c r="N44" s="1">
        <f>SUM(OSRRefE21_4x_0)</f>
        <v>0</v>
      </c>
      <c r="O44" s="1">
        <f>SUM(OSRRefE21_4x_1)</f>
        <v>0</v>
      </c>
      <c r="Q44" s="2">
        <f>SUM(OSRRefD20_4x)+IFERROR(SUM(OSRRefE20_4x),0)</f>
        <v>0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4" customFormat="1" collapsed="1" x14ac:dyDescent="0.25">
      <c r="A46" s="35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SUM(OSRRefD21_5x_6)</f>
        <v>5471.21</v>
      </c>
      <c r="K46" s="1">
        <f>SUM(OSRRefD21_5x_7)</f>
        <v>5471.21</v>
      </c>
      <c r="L46" s="1">
        <f>SUM(OSRRefD21_5x_8)</f>
        <v>5471.21</v>
      </c>
      <c r="M46" s="1">
        <f>SUM(OSRRefD21_5x_9)</f>
        <v>5471.21</v>
      </c>
      <c r="N46" s="1">
        <f>SUM(OSRRefE21_5x_0)</f>
        <v>5471</v>
      </c>
      <c r="O46" s="1">
        <f>SUM(OSRRefE21_5x_1)</f>
        <v>5471</v>
      </c>
      <c r="Q46" s="2">
        <f>SUM(OSRRefD20_5x)+IFERROR(SUM(OSRRefE20_5x),0)</f>
        <v>66099.600000000006</v>
      </c>
    </row>
    <row r="47" spans="1:17" s="34" customFormat="1" hidden="1" outlineLevel="1" x14ac:dyDescent="0.25">
      <c r="A47" s="35"/>
      <c r="B47" s="10" t="str">
        <f>CONCATENATE("          ","6321", " - ","BUILDING DEPRECIATION")</f>
        <v xml:space="preserve">          6321 - BUILDING DEPRECIATION</v>
      </c>
      <c r="C47" s="11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>
        <v>5080.51</v>
      </c>
      <c r="K47" s="2">
        <v>5080.51</v>
      </c>
      <c r="L47" s="2">
        <v>5080.51</v>
      </c>
      <c r="M47" s="2">
        <v>5080.51</v>
      </c>
      <c r="N47" s="2"/>
      <c r="O47" s="2"/>
      <c r="P47" s="9"/>
      <c r="Q47" s="2">
        <f>SUM(OSRRefD21_5_0x)+IFERROR(SUM(OSRRefE21_5_0x),0)</f>
        <v>50805.100000000013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390.7</v>
      </c>
      <c r="K48" s="2">
        <v>390.7</v>
      </c>
      <c r="L48" s="2">
        <v>390.7</v>
      </c>
      <c r="M48" s="2">
        <v>390.7</v>
      </c>
      <c r="N48" s="2">
        <v>5471</v>
      </c>
      <c r="O48" s="2">
        <v>5471</v>
      </c>
      <c r="P48" s="9"/>
      <c r="Q48" s="2">
        <f>SUM(OSRRefD21_5_1x)+IFERROR(SUM(OSRRefE21_5_1x),0)</f>
        <v>15294.5</v>
      </c>
    </row>
    <row r="49" spans="1:17" s="34" customFormat="1" collapsed="1" x14ac:dyDescent="0.25">
      <c r="A49" s="35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76.150000000000006</v>
      </c>
      <c r="J49" s="1">
        <f>SUM(OSRRefD21_6x_6)</f>
        <v>176.4</v>
      </c>
      <c r="K49" s="1">
        <f>SUM(OSRRefD21_6x_7)</f>
        <v>176.4</v>
      </c>
      <c r="L49" s="1">
        <f>SUM(OSRRefD21_6x_8)</f>
        <v>0</v>
      </c>
      <c r="M49" s="1">
        <f>SUM(OSRRefD21_6x_9)</f>
        <v>176.4</v>
      </c>
      <c r="N49" s="1">
        <f>SUM(OSRRefE21_6x_0)</f>
        <v>146</v>
      </c>
      <c r="O49" s="1">
        <f>SUM(OSRRefE21_6x_1)</f>
        <v>146</v>
      </c>
      <c r="Q49" s="2">
        <f>SUM(OSRRefD20_6x)+IFERROR(SUM(OSRRefE20_6x),0)</f>
        <v>897.35</v>
      </c>
    </row>
    <row r="50" spans="1:17" s="34" customFormat="1" hidden="1" outlineLevel="1" x14ac:dyDescent="0.25">
      <c r="A50" s="35"/>
      <c r="B50" s="10" t="str">
        <f>CONCATENATE("          ","6351", " - ","EQUIPMENT RENTAL")</f>
        <v xml:space="preserve">          6351 - EQUIPMENT RENTAL</v>
      </c>
      <c r="C50" s="11"/>
      <c r="D50" s="2"/>
      <c r="E50" s="2"/>
      <c r="F50" s="2"/>
      <c r="G50" s="2"/>
      <c r="H50" s="2"/>
      <c r="I50" s="2">
        <v>76.150000000000006</v>
      </c>
      <c r="J50" s="2">
        <v>176.4</v>
      </c>
      <c r="K50" s="2">
        <v>176.4</v>
      </c>
      <c r="L50" s="2"/>
      <c r="M50" s="2">
        <v>176.4</v>
      </c>
      <c r="N50" s="2">
        <v>146</v>
      </c>
      <c r="O50" s="2">
        <v>146</v>
      </c>
      <c r="P50" s="9"/>
      <c r="Q50" s="2">
        <f>SUM(OSRRefD21_6_0x)+IFERROR(SUM(OSRRefE21_6_0x),0)</f>
        <v>897.35</v>
      </c>
    </row>
    <row r="51" spans="1:17" s="34" customFormat="1" collapsed="1" x14ac:dyDescent="0.25">
      <c r="A51" s="35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SUM(OSRRefD21_7x_0)</f>
        <v>754.55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160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SUM(OSRRefE21_7x_0)</f>
        <v>0</v>
      </c>
      <c r="O51" s="1">
        <f>SUM(OSRRefE21_7x_1)</f>
        <v>0</v>
      </c>
      <c r="Q51" s="2">
        <f>SUM(OSRRefD20_7x)+IFERROR(SUM(OSRRefE20_7x),0)</f>
        <v>914.55</v>
      </c>
    </row>
    <row r="52" spans="1:17" s="34" customFormat="1" hidden="1" outlineLevel="1" x14ac:dyDescent="0.25">
      <c r="A52" s="35"/>
      <c r="B52" s="10" t="str">
        <f>CONCATENATE("          ","6279", " - ","GENERAL EXPENSE")</f>
        <v xml:space="preserve">          6279 - GENERAL EXPENSE</v>
      </c>
      <c r="C52" s="11"/>
      <c r="D52" s="2">
        <v>754.55</v>
      </c>
      <c r="E52" s="2"/>
      <c r="F52" s="2"/>
      <c r="G52" s="2">
        <v>0</v>
      </c>
      <c r="H52" s="2"/>
      <c r="I52" s="2">
        <v>160</v>
      </c>
      <c r="J52" s="2"/>
      <c r="K52" s="2"/>
      <c r="L52" s="2"/>
      <c r="M52" s="2"/>
      <c r="N52" s="2"/>
      <c r="O52" s="2"/>
      <c r="P52" s="9"/>
      <c r="Q52" s="2">
        <f>SUM(OSRRefD21_7_0x)+IFERROR(SUM(OSRRefE21_7_0x),0)</f>
        <v>914.55</v>
      </c>
    </row>
    <row r="53" spans="1:17" s="34" customFormat="1" collapsed="1" x14ac:dyDescent="0.25">
      <c r="A53" s="35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SUM(OSRRefD21_8x_0)</f>
        <v>243.54</v>
      </c>
      <c r="E53" s="1">
        <f>SUM(OSRRefD21_8x_1)</f>
        <v>243.54</v>
      </c>
      <c r="F53" s="1">
        <f>SUM(OSRRefD21_8x_2)</f>
        <v>243.54</v>
      </c>
      <c r="G53" s="1">
        <f>SUM(OSRRefD21_8x_3)</f>
        <v>243.54</v>
      </c>
      <c r="H53" s="1">
        <f>SUM(OSRRefD21_8x_4)</f>
        <v>243.54</v>
      </c>
      <c r="I53" s="1">
        <f>SUM(OSRRefD21_8x_5)</f>
        <v>243.54</v>
      </c>
      <c r="J53" s="1">
        <f>SUM(OSRRefD21_8x_6)</f>
        <v>243.54</v>
      </c>
      <c r="K53" s="1">
        <f>SUM(OSRRefD21_8x_7)</f>
        <v>243.54</v>
      </c>
      <c r="L53" s="1">
        <f>SUM(OSRRefD21_8x_8)</f>
        <v>243.54</v>
      </c>
      <c r="M53" s="1">
        <f>SUM(OSRRefD21_8x_9)</f>
        <v>243.54</v>
      </c>
      <c r="N53" s="1">
        <f>SUM(OSRRefE21_8x_0)</f>
        <v>270</v>
      </c>
      <c r="O53" s="1">
        <f>SUM(OSRRefE21_8x_1)</f>
        <v>270</v>
      </c>
      <c r="Q53" s="2">
        <f>SUM(OSRRefD20_8x)+IFERROR(SUM(OSRRefE20_8x),0)</f>
        <v>2975.4</v>
      </c>
    </row>
    <row r="54" spans="1:17" s="34" customFormat="1" hidden="1" outlineLevel="1" x14ac:dyDescent="0.25">
      <c r="A54" s="35"/>
      <c r="B54" s="10" t="str">
        <f>CONCATENATE("          ","6314", " - ","LIABILITY INSURANCE")</f>
        <v xml:space="preserve">          6314 - LIABILITY INSURANCE</v>
      </c>
      <c r="C54" s="11"/>
      <c r="D54" s="2">
        <v>243.54</v>
      </c>
      <c r="E54" s="2">
        <v>243.54</v>
      </c>
      <c r="F54" s="2">
        <v>243.54</v>
      </c>
      <c r="G54" s="2">
        <v>243.54</v>
      </c>
      <c r="H54" s="2">
        <v>243.54</v>
      </c>
      <c r="I54" s="2">
        <v>243.54</v>
      </c>
      <c r="J54" s="2">
        <v>243.54</v>
      </c>
      <c r="K54" s="2">
        <v>243.54</v>
      </c>
      <c r="L54" s="2">
        <v>243.54</v>
      </c>
      <c r="M54" s="2">
        <v>243.54</v>
      </c>
      <c r="N54" s="2">
        <v>270</v>
      </c>
      <c r="O54" s="2">
        <v>270</v>
      </c>
      <c r="P54" s="9"/>
      <c r="Q54" s="2">
        <f>SUM(OSRRefD21_8_0x)+IFERROR(SUM(OSRRefE21_8_0x),0)</f>
        <v>2975.4</v>
      </c>
    </row>
    <row r="55" spans="1:17" s="34" customFormat="1" collapsed="1" x14ac:dyDescent="0.25">
      <c r="A55" s="35"/>
      <c r="B55" s="11" t="str">
        <f>CONCATENATE("     ","Interest                                          ")</f>
        <v xml:space="preserve">     Interest                                          </v>
      </c>
      <c r="C55" s="11"/>
      <c r="D55" s="1">
        <f>SUM(OSRRefD21_9x_0)</f>
        <v>4044</v>
      </c>
      <c r="E55" s="1">
        <f>SUM(OSRRefD21_9x_1)</f>
        <v>4044</v>
      </c>
      <c r="F55" s="1">
        <f>SUM(OSRRefD21_9x_2)</f>
        <v>4044</v>
      </c>
      <c r="G55" s="1">
        <f>SUM(OSRRefD21_9x_3)</f>
        <v>3781.85</v>
      </c>
      <c r="H55" s="1">
        <f>SUM(OSRRefD21_9x_4)</f>
        <v>4044</v>
      </c>
      <c r="I55" s="1">
        <f>SUM(OSRRefD21_9x_5)</f>
        <v>4044</v>
      </c>
      <c r="J55" s="1">
        <f>SUM(OSRRefD21_9x_6)</f>
        <v>4044</v>
      </c>
      <c r="K55" s="1">
        <f>SUM(OSRRefD21_9x_7)</f>
        <v>4044</v>
      </c>
      <c r="L55" s="1">
        <f>SUM(OSRRefD21_9x_8)</f>
        <v>4044</v>
      </c>
      <c r="M55" s="1">
        <f>SUM(OSRRefD21_9x_9)</f>
        <v>3213</v>
      </c>
      <c r="N55" s="1">
        <f>SUM(OSRRefE21_9x_0)</f>
        <v>3905</v>
      </c>
      <c r="O55" s="1">
        <f>SUM(OSRRefE21_9x_1)</f>
        <v>3905</v>
      </c>
      <c r="Q55" s="2">
        <f>SUM(OSRRefD20_9x)+IFERROR(SUM(OSRRefE20_9x),0)</f>
        <v>47156.85</v>
      </c>
    </row>
    <row r="56" spans="1:17" s="34" customFormat="1" hidden="1" outlineLevel="1" x14ac:dyDescent="0.25">
      <c r="A56" s="35"/>
      <c r="B56" s="10" t="str">
        <f>CONCATENATE("          ","6401", " - ","INTEREST EXPENSE")</f>
        <v xml:space="preserve">          6401 - INTEREST EXPENSE</v>
      </c>
      <c r="C56" s="11"/>
      <c r="D56" s="2">
        <v>4044</v>
      </c>
      <c r="E56" s="2">
        <v>4044</v>
      </c>
      <c r="F56" s="2">
        <v>4044</v>
      </c>
      <c r="G56" s="2">
        <v>3781.85</v>
      </c>
      <c r="H56" s="2">
        <v>4044</v>
      </c>
      <c r="I56" s="2">
        <v>4044</v>
      </c>
      <c r="J56" s="2">
        <v>4044</v>
      </c>
      <c r="K56" s="2">
        <v>4044</v>
      </c>
      <c r="L56" s="2">
        <v>4044</v>
      </c>
      <c r="M56" s="2">
        <v>3213</v>
      </c>
      <c r="N56" s="2">
        <v>3905</v>
      </c>
      <c r="O56" s="2">
        <v>3905</v>
      </c>
      <c r="P56" s="9"/>
      <c r="Q56" s="2">
        <f>SUM(OSRRefD21_9_0x)+IFERROR(SUM(OSRRefE21_9_0x),0)</f>
        <v>47156.85</v>
      </c>
    </row>
    <row r="57" spans="1:17" s="34" customFormat="1" collapsed="1" x14ac:dyDescent="0.25">
      <c r="A57" s="35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SUM(OSRRefD21_10x_0)</f>
        <v>0</v>
      </c>
      <c r="E57" s="1">
        <f>SUM(OSRRefD21_10x_1)</f>
        <v>78.599999999999994</v>
      </c>
      <c r="F57" s="1">
        <f>SUM(OSRRefD21_10x_2)</f>
        <v>108.52</v>
      </c>
      <c r="G57" s="1">
        <f>SUM(OSRRefD21_10x_3)</f>
        <v>0</v>
      </c>
      <c r="H57" s="1">
        <f>SUM(OSRRefD21_10x_4)</f>
        <v>0</v>
      </c>
      <c r="I57" s="1">
        <f>SUM(OSRRefD21_10x_5)</f>
        <v>108.52</v>
      </c>
      <c r="J57" s="1">
        <f>SUM(OSRRefD21_10x_6)</f>
        <v>0</v>
      </c>
      <c r="K57" s="1">
        <f>SUM(OSRRefD21_10x_7)</f>
        <v>108</v>
      </c>
      <c r="L57" s="1">
        <f>SUM(OSRRefD21_10x_8)</f>
        <v>233.51999999999998</v>
      </c>
      <c r="M57" s="1">
        <f>SUM(OSRRefD21_10x_9)</f>
        <v>0</v>
      </c>
      <c r="N57" s="1">
        <f>SUM(OSRRefE21_10x_0)</f>
        <v>0</v>
      </c>
      <c r="O57" s="1">
        <f>SUM(OSRRefE21_10x_1)</f>
        <v>0</v>
      </c>
      <c r="Q57" s="2">
        <f>SUM(OSRRefD20_10x)+IFERROR(SUM(OSRRefE20_10x),0)</f>
        <v>637.16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1"/>
      <c r="D58" s="2"/>
      <c r="E58" s="2">
        <v>78.599999999999994</v>
      </c>
      <c r="F58" s="2">
        <v>108.52</v>
      </c>
      <c r="G58" s="2"/>
      <c r="H58" s="2"/>
      <c r="I58" s="2">
        <v>108.52</v>
      </c>
      <c r="J58" s="2"/>
      <c r="K58" s="2"/>
      <c r="L58" s="2">
        <v>108.52</v>
      </c>
      <c r="M58" s="2"/>
      <c r="N58" s="2"/>
      <c r="O58" s="2"/>
      <c r="P58" s="9"/>
      <c r="Q58" s="2">
        <f>SUM(OSRRefD21_10_0x)+IFERROR(SUM(OSRRefE21_10_0x),0)</f>
        <v>404.15999999999997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1"/>
      <c r="D59" s="2"/>
      <c r="E59" s="2"/>
      <c r="F59" s="2"/>
      <c r="G59" s="2"/>
      <c r="H59" s="2"/>
      <c r="I59" s="2"/>
      <c r="J59" s="2"/>
      <c r="K59" s="2">
        <v>108</v>
      </c>
      <c r="L59" s="2">
        <v>125</v>
      </c>
      <c r="M59" s="2"/>
      <c r="N59" s="2"/>
      <c r="O59" s="2"/>
      <c r="P59" s="9"/>
      <c r="Q59" s="2">
        <f>SUM(OSRRefD21_10_1x)+IFERROR(SUM(OSRRefE21_10_1x),0)</f>
        <v>233</v>
      </c>
    </row>
    <row r="60" spans="1:17" s="34" customFormat="1" collapsed="1" x14ac:dyDescent="0.25">
      <c r="A60" s="35"/>
      <c r="B60" s="11" t="str">
        <f>CONCATENATE("     ","Services                                          ")</f>
        <v xml:space="preserve">     Services                                          </v>
      </c>
      <c r="C60" s="11"/>
      <c r="D60" s="1">
        <f>SUM(OSRRefD21_11x_0)</f>
        <v>0</v>
      </c>
      <c r="E60" s="1">
        <f>SUM(OSRRefD21_11x_1)</f>
        <v>0</v>
      </c>
      <c r="F60" s="1">
        <f>SUM(OSRRefD21_11x_2)</f>
        <v>0</v>
      </c>
      <c r="G60" s="1">
        <f>SUM(OSRRefD21_11x_3)</f>
        <v>0</v>
      </c>
      <c r="H60" s="1">
        <f>SUM(OSRRefD21_11x_4)</f>
        <v>289</v>
      </c>
      <c r="I60" s="1">
        <f>SUM(OSRRefD21_11x_5)</f>
        <v>289</v>
      </c>
      <c r="J60" s="1">
        <f>SUM(OSRRefD21_11x_6)</f>
        <v>918.4</v>
      </c>
      <c r="K60" s="1">
        <f>SUM(OSRRefD21_11x_7)</f>
        <v>289</v>
      </c>
      <c r="L60" s="1">
        <f>SUM(OSRRefD21_11x_8)</f>
        <v>-123.65</v>
      </c>
      <c r="M60" s="1">
        <f>SUM(OSRRefD21_11x_9)</f>
        <v>289</v>
      </c>
      <c r="N60" s="1">
        <f>SUM(OSRRefE21_11x_0)</f>
        <v>0</v>
      </c>
      <c r="O60" s="1">
        <f>SUM(OSRRefE21_11x_1)</f>
        <v>0</v>
      </c>
      <c r="Q60" s="2">
        <f>SUM(OSRRefD20_11x)+IFERROR(SUM(OSRRefE20_11x),0)</f>
        <v>1950.75</v>
      </c>
    </row>
    <row r="61" spans="1:17" s="34" customFormat="1" hidden="1" outlineLevel="1" x14ac:dyDescent="0.25">
      <c r="A61" s="35"/>
      <c r="B61" s="10" t="str">
        <f>CONCATENATE("          ","6282", " - ","JANITORIAL/EXTERMINATOR EXPENS")</f>
        <v xml:space="preserve">          6282 - JANITORIAL/EXTERMINATOR EXPENS</v>
      </c>
      <c r="C61" s="11"/>
      <c r="D61" s="2"/>
      <c r="E61" s="2"/>
      <c r="F61" s="2"/>
      <c r="G61" s="2"/>
      <c r="H61" s="2"/>
      <c r="I61" s="2"/>
      <c r="J61" s="2">
        <v>629.4</v>
      </c>
      <c r="K61" s="2"/>
      <c r="L61" s="2">
        <v>157.35</v>
      </c>
      <c r="M61" s="2"/>
      <c r="N61" s="2"/>
      <c r="O61" s="2"/>
      <c r="P61" s="9"/>
      <c r="Q61" s="2">
        <f>SUM(OSRRefD21_11_0x)+IFERROR(SUM(OSRRefE21_11_0x),0)</f>
        <v>786.75</v>
      </c>
    </row>
    <row r="62" spans="1:17" s="34" customFormat="1" hidden="1" outlineLevel="1" x14ac:dyDescent="0.25">
      <c r="A62" s="35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/>
      <c r="H62" s="2">
        <v>289</v>
      </c>
      <c r="I62" s="2">
        <v>289</v>
      </c>
      <c r="J62" s="2">
        <v>289</v>
      </c>
      <c r="K62" s="2">
        <v>289</v>
      </c>
      <c r="L62" s="2">
        <v>-281</v>
      </c>
      <c r="M62" s="2">
        <v>289</v>
      </c>
      <c r="N62" s="2"/>
      <c r="O62" s="2"/>
      <c r="P62" s="9"/>
      <c r="Q62" s="2">
        <f>SUM(OSRRefD21_11_1x)+IFERROR(SUM(OSRRefE21_11_1x),0)</f>
        <v>1164</v>
      </c>
    </row>
    <row r="63" spans="1:17" s="34" customFormat="1" collapsed="1" x14ac:dyDescent="0.25">
      <c r="A63" s="35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SUM(OSRRefD21_12x_0)</f>
        <v>0</v>
      </c>
      <c r="E63" s="1">
        <f>SUM(OSRRefD21_12x_1)</f>
        <v>0</v>
      </c>
      <c r="F63" s="1">
        <f>SUM(OSRRefD21_12x_2)</f>
        <v>634.24</v>
      </c>
      <c r="G63" s="1">
        <f>SUM(OSRRefD21_12x_3)</f>
        <v>0</v>
      </c>
      <c r="H63" s="1">
        <f>SUM(OSRRefD21_12x_4)</f>
        <v>0</v>
      </c>
      <c r="I63" s="1">
        <f>SUM(OSRRefD21_12x_5)</f>
        <v>0</v>
      </c>
      <c r="J63" s="1">
        <f>SUM(OSRRefD21_12x_6)</f>
        <v>0</v>
      </c>
      <c r="K63" s="1">
        <f>SUM(OSRRefD21_12x_7)</f>
        <v>0</v>
      </c>
      <c r="L63" s="1">
        <f>SUM(OSRRefD21_12x_8)</f>
        <v>0</v>
      </c>
      <c r="M63" s="1">
        <f>SUM(OSRRefD21_12x_9)</f>
        <v>0</v>
      </c>
      <c r="N63" s="1">
        <f>SUM(OSRRefE21_12x_0)</f>
        <v>0</v>
      </c>
      <c r="O63" s="1">
        <f>SUM(OSRRefE21_12x_1)</f>
        <v>0</v>
      </c>
      <c r="Q63" s="2">
        <f>SUM(OSRRefD20_12x)+IFERROR(SUM(OSRRefE20_12x),0)</f>
        <v>634.24</v>
      </c>
    </row>
    <row r="64" spans="1:17" s="34" customFormat="1" hidden="1" outlineLevel="1" x14ac:dyDescent="0.25">
      <c r="A64" s="35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>
        <v>316.67</v>
      </c>
      <c r="G64" s="2"/>
      <c r="H64" s="2"/>
      <c r="I64" s="2"/>
      <c r="J64" s="2"/>
      <c r="K64" s="2"/>
      <c r="L64" s="2"/>
      <c r="M64" s="2"/>
      <c r="N64" s="2">
        <v>0</v>
      </c>
      <c r="O64" s="2"/>
      <c r="P64" s="9"/>
      <c r="Q64" s="2">
        <f>SUM(OSRRefD21_12_0x)+IFERROR(SUM(OSRRefE21_12_0x),0)</f>
        <v>316.67</v>
      </c>
    </row>
    <row r="65" spans="1:17" s="34" customFormat="1" hidden="1" outlineLevel="1" x14ac:dyDescent="0.25">
      <c r="A65" s="35"/>
      <c r="B65" s="10" t="str">
        <f>CONCATENATE("          ","6235", " - ","COVID-19 EXPENSES")</f>
        <v xml:space="preserve">          6235 - COVID-19 EXPENSES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SUM(OSRRefD21_12_1x)+IFERROR(SUM(OSRRefE21_12_1x),0)</f>
        <v>0</v>
      </c>
    </row>
    <row r="66" spans="1:17" s="34" customFormat="1" hidden="1" outlineLevel="1" x14ac:dyDescent="0.25">
      <c r="A66" s="35"/>
      <c r="B66" s="10" t="str">
        <f>CONCATENATE("          ","6237", " - ","JANITORIAL SUPPLIES")</f>
        <v xml:space="preserve">          6237 - JANITORIAL SUPPLIES</v>
      </c>
      <c r="C66" s="11"/>
      <c r="D66" s="2"/>
      <c r="E66" s="2"/>
      <c r="F66" s="2">
        <v>317.57</v>
      </c>
      <c r="G66" s="2"/>
      <c r="H66" s="2"/>
      <c r="I66" s="2"/>
      <c r="J66" s="2"/>
      <c r="K66" s="2"/>
      <c r="L66" s="2"/>
      <c r="M66" s="2"/>
      <c r="N66" s="2">
        <v>0</v>
      </c>
      <c r="O66" s="2"/>
      <c r="P66" s="9"/>
      <c r="Q66" s="2">
        <f>SUM(OSRRefD21_12_2x)+IFERROR(SUM(OSRRefE21_12_2x),0)</f>
        <v>317.57</v>
      </c>
    </row>
    <row r="67" spans="1:17" s="34" customFormat="1" hidden="1" outlineLevel="1" x14ac:dyDescent="0.25">
      <c r="A67" s="35"/>
      <c r="B67" s="10" t="str">
        <f>CONCATENATE("          ","6243", " - ","PAPER SUPPLIES")</f>
        <v xml:space="preserve">          6243 - PAPER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/>
      <c r="P67" s="9"/>
      <c r="Q67" s="2">
        <f>SUM(OSRRefD21_12_3x)+IFERROR(SUM(OSRRefE21_12_3x),0)</f>
        <v>0</v>
      </c>
    </row>
    <row r="68" spans="1:17" s="34" customFormat="1" hidden="1" outlineLevel="1" x14ac:dyDescent="0.25">
      <c r="A68" s="35"/>
      <c r="B68" s="10" t="str">
        <f>CONCATENATE("          ","6247", " - ","STORE SUPPLIES")</f>
        <v xml:space="preserve">          6247 - STORE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SUM(OSRRefD21_12_4x)+IFERROR(SUM(OSRRefE21_12_4x),0)</f>
        <v>0</v>
      </c>
    </row>
    <row r="69" spans="1:17" s="34" customFormat="1" collapsed="1" x14ac:dyDescent="0.25">
      <c r="A69" s="35"/>
      <c r="B69" s="11" t="str">
        <f>CONCATENATE("     ","Telephone/Data Lines                              ")</f>
        <v xml:space="preserve">     Telephone/Data Lines                              </v>
      </c>
      <c r="C69" s="11"/>
      <c r="D69" s="1">
        <f>SUM(OSRRefD21_13x_0)</f>
        <v>38</v>
      </c>
      <c r="E69" s="1">
        <f>SUM(OSRRefD21_13x_1)</f>
        <v>38</v>
      </c>
      <c r="F69" s="1">
        <f>SUM(OSRRefD21_13x_2)</f>
        <v>40</v>
      </c>
      <c r="G69" s="1">
        <f>SUM(OSRRefD21_13x_3)</f>
        <v>875.87</v>
      </c>
      <c r="H69" s="1">
        <f>SUM(OSRRefD21_13x_4)</f>
        <v>-126</v>
      </c>
      <c r="I69" s="1">
        <f>SUM(OSRRefD21_13x_5)</f>
        <v>22</v>
      </c>
      <c r="J69" s="1">
        <f>SUM(OSRRefD21_13x_6)</f>
        <v>172</v>
      </c>
      <c r="K69" s="1">
        <f>SUM(OSRRefD21_13x_7)</f>
        <v>-128</v>
      </c>
      <c r="L69" s="1">
        <f>SUM(OSRRefD21_13x_8)</f>
        <v>22</v>
      </c>
      <c r="M69" s="1">
        <f>SUM(OSRRefD21_13x_9)</f>
        <v>172</v>
      </c>
      <c r="N69" s="1">
        <f>SUM(OSRRefE21_13x_0)</f>
        <v>40</v>
      </c>
      <c r="O69" s="1">
        <f>SUM(OSRRefE21_13x_1)</f>
        <v>40</v>
      </c>
      <c r="Q69" s="2">
        <f>SUM(OSRRefD20_13x)+IFERROR(SUM(OSRRefE20_13x),0)</f>
        <v>1205.8699999999999</v>
      </c>
    </row>
    <row r="70" spans="1:17" s="34" customFormat="1" hidden="1" outlineLevel="1" x14ac:dyDescent="0.25">
      <c r="A70" s="35"/>
      <c r="B70" s="10" t="str">
        <f>CONCATENATE("          ","6303", " - ","DATA PHONE LINES")</f>
        <v xml:space="preserve">          6303 - DATA PHONE LINES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40</v>
      </c>
      <c r="O70" s="2">
        <v>40</v>
      </c>
      <c r="P70" s="9"/>
      <c r="Q70" s="2">
        <f>SUM(OSRRefD21_13_0x)+IFERROR(SUM(OSRRefE21_13_0x),0)</f>
        <v>80</v>
      </c>
    </row>
    <row r="71" spans="1:17" s="34" customFormat="1" hidden="1" outlineLevel="1" x14ac:dyDescent="0.25">
      <c r="A71" s="35"/>
      <c r="B71" s="10" t="str">
        <f>CONCATENATE("          ","6309", " - ","TELEPHONE")</f>
        <v xml:space="preserve">          6309 - TELEPHONE</v>
      </c>
      <c r="C71" s="11"/>
      <c r="D71" s="2">
        <v>38</v>
      </c>
      <c r="E71" s="2">
        <v>38</v>
      </c>
      <c r="F71" s="2">
        <v>40</v>
      </c>
      <c r="G71" s="2">
        <v>875.87</v>
      </c>
      <c r="H71" s="2">
        <v>-126</v>
      </c>
      <c r="I71" s="2">
        <v>22</v>
      </c>
      <c r="J71" s="2">
        <v>172</v>
      </c>
      <c r="K71" s="2">
        <v>-128</v>
      </c>
      <c r="L71" s="2">
        <v>22</v>
      </c>
      <c r="M71" s="2">
        <v>172</v>
      </c>
      <c r="N71" s="2"/>
      <c r="O71" s="2"/>
      <c r="P71" s="9"/>
      <c r="Q71" s="2">
        <f>SUM(OSRRefD21_13_1x)+IFERROR(SUM(OSRRefE21_13_1x),0)</f>
        <v>1125.8699999999999</v>
      </c>
    </row>
    <row r="72" spans="1:17" s="34" customFormat="1" collapsed="1" x14ac:dyDescent="0.25">
      <c r="A72" s="35"/>
      <c r="B72" s="11" t="str">
        <f>CONCATENATE("     ","Utilities                                         ")</f>
        <v xml:space="preserve">     Utilities                                         </v>
      </c>
      <c r="C72" s="11"/>
      <c r="D72" s="1">
        <f>SUM(OSRRefD21_14x_0)</f>
        <v>0</v>
      </c>
      <c r="E72" s="1">
        <f>SUM(OSRRefD21_14x_1)</f>
        <v>0</v>
      </c>
      <c r="F72" s="1">
        <f>SUM(OSRRefD21_14x_2)</f>
        <v>0</v>
      </c>
      <c r="G72" s="1">
        <f>SUM(OSRRefD21_14x_3)</f>
        <v>878</v>
      </c>
      <c r="H72" s="1">
        <f>SUM(OSRRefD21_14x_4)</f>
        <v>878</v>
      </c>
      <c r="I72" s="1">
        <f>SUM(OSRRefD21_14x_5)</f>
        <v>878</v>
      </c>
      <c r="J72" s="1">
        <f>SUM(OSRRefD21_14x_6)</f>
        <v>878</v>
      </c>
      <c r="K72" s="1">
        <f>SUM(OSRRefD21_14x_7)</f>
        <v>878</v>
      </c>
      <c r="L72" s="1">
        <f>SUM(OSRRefD21_14x_8)</f>
        <v>-939</v>
      </c>
      <c r="M72" s="1">
        <f>SUM(OSRRefD21_14x_9)</f>
        <v>878</v>
      </c>
      <c r="N72" s="1">
        <f>SUM(OSRRefE21_14x_0)</f>
        <v>800</v>
      </c>
      <c r="O72" s="1">
        <f>SUM(OSRRefE21_14x_1)</f>
        <v>800</v>
      </c>
      <c r="Q72" s="2">
        <f>SUM(OSRRefD20_14x)+IFERROR(SUM(OSRRefE20_14x),0)</f>
        <v>5929</v>
      </c>
    </row>
    <row r="73" spans="1:17" s="34" customFormat="1" hidden="1" outlineLevel="1" x14ac:dyDescent="0.25">
      <c r="A73" s="35"/>
      <c r="B73" s="10" t="str">
        <f>CONCATENATE("          ","6274", " - ","UTILITIES")</f>
        <v xml:space="preserve">          6274 - UTILITIES</v>
      </c>
      <c r="C73" s="11"/>
      <c r="D73" s="2"/>
      <c r="E73" s="2"/>
      <c r="F73" s="2"/>
      <c r="G73" s="2">
        <v>878</v>
      </c>
      <c r="H73" s="2">
        <v>878</v>
      </c>
      <c r="I73" s="2">
        <v>878</v>
      </c>
      <c r="J73" s="2">
        <v>878</v>
      </c>
      <c r="K73" s="2">
        <v>878</v>
      </c>
      <c r="L73" s="2">
        <v>-939</v>
      </c>
      <c r="M73" s="2">
        <v>878</v>
      </c>
      <c r="N73" s="2">
        <v>800</v>
      </c>
      <c r="O73" s="2">
        <v>800</v>
      </c>
      <c r="P73" s="9"/>
      <c r="Q73" s="2">
        <f>SUM(OSRRefD21_14_0x)+IFERROR(SUM(OSRRefE21_14_0x),0)</f>
        <v>5929</v>
      </c>
    </row>
    <row r="74" spans="1:17" s="30" customFormat="1" x14ac:dyDescent="0.25">
      <c r="A74" s="21"/>
      <c r="B74" s="21"/>
      <c r="C74" s="2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25">
      <c r="A75" s="23"/>
      <c r="B75" s="16" t="s">
        <v>291</v>
      </c>
      <c r="C75" s="22"/>
      <c r="D75" s="3">
        <f t="shared" ref="D75:M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>
        <f t="shared" si="3"/>
        <v>0</v>
      </c>
      <c r="L75" s="3">
        <f t="shared" si="3"/>
        <v>0</v>
      </c>
      <c r="M75" s="3">
        <f t="shared" si="3"/>
        <v>0</v>
      </c>
      <c r="N75" s="3"/>
      <c r="O75" s="3"/>
      <c r="Q75" s="2">
        <f>SUM(OSRRefD23_0x)+IFERROR(SUM(OSRRefE23_0x),0)</f>
        <v>0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6"/>
      <c r="B77" s="17" t="s">
        <v>274</v>
      </c>
      <c r="C77" s="17"/>
      <c r="D77" s="8">
        <f t="shared" ref="D77:O77" si="4">IFERROR(+D16-D19+D75, 0)</f>
        <v>-14436.4</v>
      </c>
      <c r="E77" s="8">
        <f t="shared" si="4"/>
        <v>-9297.77</v>
      </c>
      <c r="F77" s="8">
        <f t="shared" si="4"/>
        <v>-10652.890000000001</v>
      </c>
      <c r="G77" s="8">
        <f t="shared" si="4"/>
        <v>-22898.660000000003</v>
      </c>
      <c r="H77" s="8">
        <f t="shared" si="4"/>
        <v>-10799.75</v>
      </c>
      <c r="I77" s="8">
        <f t="shared" si="4"/>
        <v>-11085.79</v>
      </c>
      <c r="J77" s="8">
        <f t="shared" si="4"/>
        <v>-11903.55</v>
      </c>
      <c r="K77" s="8">
        <f t="shared" si="4"/>
        <v>-11082.15</v>
      </c>
      <c r="L77" s="8">
        <f t="shared" si="4"/>
        <v>-9128.02</v>
      </c>
      <c r="M77" s="8">
        <f t="shared" si="4"/>
        <v>-10619.55</v>
      </c>
      <c r="N77" s="8">
        <f t="shared" si="4"/>
        <v>-17934.812864</v>
      </c>
      <c r="O77" s="8">
        <f t="shared" si="4"/>
        <v>-17934.812864</v>
      </c>
      <c r="Q77" s="8">
        <f>IFERROR(+Q16-Q19+Q75, 0)</f>
        <v>-157774.15572800001</v>
      </c>
    </row>
    <row r="78" spans="1:17" s="6" customFormat="1" x14ac:dyDescent="0.2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25">
      <c r="A79" s="5"/>
      <c r="B79" s="6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x14ac:dyDescent="0.25">
      <c r="A80" s="25"/>
      <c r="B80" s="6" t="s">
        <v>125</v>
      </c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2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.75" thickBot="1" x14ac:dyDescent="0.3">
      <c r="A82" s="6"/>
      <c r="B82" s="17" t="s">
        <v>124</v>
      </c>
      <c r="C82" s="17"/>
      <c r="D82" s="7">
        <f t="shared" ref="D82:O82" si="6">IFERROR(+D77-D80, 0)</f>
        <v>-14436.4</v>
      </c>
      <c r="E82" s="7">
        <f t="shared" si="6"/>
        <v>-9297.77</v>
      </c>
      <c r="F82" s="7">
        <f t="shared" si="6"/>
        <v>-10652.890000000001</v>
      </c>
      <c r="G82" s="7">
        <f t="shared" si="6"/>
        <v>-22898.660000000003</v>
      </c>
      <c r="H82" s="7">
        <f t="shared" si="6"/>
        <v>-10799.75</v>
      </c>
      <c r="I82" s="7">
        <f t="shared" si="6"/>
        <v>-11085.79</v>
      </c>
      <c r="J82" s="7">
        <f t="shared" si="6"/>
        <v>-11903.55</v>
      </c>
      <c r="K82" s="7">
        <f t="shared" si="6"/>
        <v>-11082.15</v>
      </c>
      <c r="L82" s="7">
        <f t="shared" si="6"/>
        <v>-9128.02</v>
      </c>
      <c r="M82" s="7">
        <f t="shared" si="6"/>
        <v>-10619.55</v>
      </c>
      <c r="N82" s="7">
        <f t="shared" si="6"/>
        <v>-17934.812864</v>
      </c>
      <c r="O82" s="7">
        <f t="shared" si="6"/>
        <v>-17934.812864</v>
      </c>
      <c r="Q82" s="7">
        <f>IFERROR(+Q77-Q80, 0)</f>
        <v>-157774.15572800001</v>
      </c>
    </row>
    <row r="83" spans="1:17" ht="15.75" thickTop="1" x14ac:dyDescent="0.2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ht="15.75" thickBot="1" x14ac:dyDescent="0.3">
      <c r="A86" s="6"/>
      <c r="B86" s="17" t="s">
        <v>292</v>
      </c>
      <c r="C86" s="17"/>
      <c r="D86" s="7">
        <f t="shared" ref="D86:O86" si="8">IFERROR(SUM(D82:D85), 0)</f>
        <v>-14436.4</v>
      </c>
      <c r="E86" s="7">
        <f t="shared" si="8"/>
        <v>-9297.77</v>
      </c>
      <c r="F86" s="7">
        <f t="shared" si="8"/>
        <v>-10652.890000000001</v>
      </c>
      <c r="G86" s="7">
        <f t="shared" si="8"/>
        <v>-22898.660000000003</v>
      </c>
      <c r="H86" s="7">
        <f t="shared" si="8"/>
        <v>-10799.75</v>
      </c>
      <c r="I86" s="7">
        <f t="shared" si="8"/>
        <v>-11085.79</v>
      </c>
      <c r="J86" s="7">
        <f t="shared" si="8"/>
        <v>-11903.55</v>
      </c>
      <c r="K86" s="7">
        <f t="shared" si="8"/>
        <v>-11082.15</v>
      </c>
      <c r="L86" s="7">
        <f t="shared" si="8"/>
        <v>-9128.02</v>
      </c>
      <c r="M86" s="7">
        <f t="shared" si="8"/>
        <v>-10619.55</v>
      </c>
      <c r="N86" s="7">
        <f t="shared" si="8"/>
        <v>-17934.812864</v>
      </c>
      <c r="O86" s="7">
        <f t="shared" si="8"/>
        <v>-17934.812864</v>
      </c>
      <c r="Q86" s="7">
        <f>IFERROR(SUM(Q82:Q85), 0)</f>
        <v>-157774.15572800001</v>
      </c>
    </row>
    <row r="87" spans="1:17" ht="15.75" thickTop="1" x14ac:dyDescent="0.2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25">
      <c r="A88" s="5"/>
      <c r="B88" s="27">
        <v>44330.012769791669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A89" s="5"/>
      <c r="B89" s="31" t="s">
        <v>54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  <row r="90" spans="1:17" x14ac:dyDescent="0.25">
      <c r="A90" s="5"/>
      <c r="B90" s="26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Q90" s="13"/>
    </row>
    <row r="91" spans="1:17" x14ac:dyDescent="0.25"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Q9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SUM(OSRRefE11x_0)</f>
        <v>731</v>
      </c>
      <c r="O10" s="3">
        <f>SUM(OSRRefE11x_1)</f>
        <v>151</v>
      </c>
      <c r="P10" s="24"/>
      <c r="Q10" s="3">
        <f>SUM(OSRRefG11x)</f>
        <v>1278.45</v>
      </c>
      <c r="R10" s="24"/>
    </row>
    <row r="11" spans="1:18" s="9" customFormat="1" hidden="1" outlineLevel="1" x14ac:dyDescent="0.25">
      <c r="A11" s="23"/>
      <c r="B11" s="10" t="str">
        <f>CONCATENATE("          ","4100", " - ","NON-TAXABLE SALES")</f>
        <v xml:space="preserve">          4100 - NON-TAXABLE SALES</v>
      </c>
      <c r="C11" s="22"/>
      <c r="D11" s="2">
        <f t="shared" ref="D11:D12" si="0">0</f>
        <v>0</v>
      </c>
      <c r="E11" s="2">
        <f t="shared" ref="E11:M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731</v>
      </c>
      <c r="O11" s="2">
        <v>151</v>
      </c>
      <c r="Q11" s="2">
        <f>SUM(OSRRefD11_0x)+IFERROR(SUM(OSRRefE11_0x),0)</f>
        <v>882</v>
      </c>
    </row>
    <row r="12" spans="1:18" s="9" customFormat="1" hidden="1" outlineLevel="1" x14ac:dyDescent="0.25">
      <c r="A12" s="23"/>
      <c r="B12" s="10" t="str">
        <f>CONCATENATE("          ","4153", " - ","NON-TAXABLE SALES-FOOD")</f>
        <v xml:space="preserve">          4153 - NON-TAXABLE SALES-FOOD</v>
      </c>
      <c r="C12" s="22"/>
      <c r="D12" s="2">
        <f t="shared" si="0"/>
        <v>0</v>
      </c>
      <c r="E12" s="2">
        <f>--110</f>
        <v>110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>--134</f>
        <v>134</v>
      </c>
      <c r="L12" s="2">
        <f>--100.55</f>
        <v>100.55</v>
      </c>
      <c r="M12" s="2">
        <f>--51.9</f>
        <v>51.9</v>
      </c>
      <c r="N12" s="2"/>
      <c r="O12" s="2"/>
      <c r="Q12" s="2">
        <f>SUM(OSRRefD11_1x)+IFERROR(SUM(OSRRefE11_1x),0)</f>
        <v>396.45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-430</v>
      </c>
      <c r="L14" s="3">
        <f>SUM(OSRRefD14x_8)</f>
        <v>19</v>
      </c>
      <c r="M14" s="3">
        <f>SUM(OSRRefD14x_9)</f>
        <v>24.08</v>
      </c>
      <c r="N14" s="3">
        <f>SUM(OSRRefE14x_0)</f>
        <v>366</v>
      </c>
      <c r="O14" s="3">
        <f>SUM(OSRRefE14x_1)</f>
        <v>75</v>
      </c>
      <c r="Q14" s="3">
        <f>SUM(OSRRefG14x)</f>
        <v>122.98999999999995</v>
      </c>
    </row>
    <row r="15" spans="1:18" s="9" customFormat="1" hidden="1" outlineLevel="1" x14ac:dyDescent="0.25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366</v>
      </c>
      <c r="O15" s="2">
        <v>75</v>
      </c>
      <c r="Q15" s="2">
        <f>SUM(OSRRefD14_0x)+IFERROR(SUM(OSRRefE14_0x),0)</f>
        <v>441</v>
      </c>
    </row>
    <row r="16" spans="1:18" s="9" customFormat="1" hidden="1" outlineLevel="1" x14ac:dyDescent="0.25">
      <c r="A16" s="23"/>
      <c r="B16" s="10" t="str">
        <f>CONCATENATE("          ","5059", " - ","PURCHASES @ COST-FOOD")</f>
        <v xml:space="preserve">          5059 - PURCHASES @ COST-FOOD</v>
      </c>
      <c r="C16" s="22"/>
      <c r="D16" s="2"/>
      <c r="E16" s="2">
        <v>68.91</v>
      </c>
      <c r="F16" s="2"/>
      <c r="G16" s="2"/>
      <c r="H16" s="2"/>
      <c r="I16" s="2"/>
      <c r="J16" s="2"/>
      <c r="K16" s="2">
        <v>-430</v>
      </c>
      <c r="L16" s="2">
        <v>19</v>
      </c>
      <c r="M16" s="2">
        <v>24.08</v>
      </c>
      <c r="N16" s="2"/>
      <c r="O16" s="2"/>
      <c r="Q16" s="2">
        <f>SUM(OSRRefD14_1x)+IFERROR(SUM(OSRRefE14_1x),0)</f>
        <v>-318.01000000000005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3">IFERROR(+D10-D14, 0)</f>
        <v>0</v>
      </c>
      <c r="E18" s="8">
        <f t="shared" si="3"/>
        <v>41.09</v>
      </c>
      <c r="F18" s="8">
        <f t="shared" si="3"/>
        <v>0</v>
      </c>
      <c r="G18" s="8">
        <f t="shared" si="3"/>
        <v>0</v>
      </c>
      <c r="H18" s="8">
        <f t="shared" si="3"/>
        <v>0</v>
      </c>
      <c r="I18" s="8">
        <f t="shared" si="3"/>
        <v>0</v>
      </c>
      <c r="J18" s="8">
        <f t="shared" si="3"/>
        <v>0</v>
      </c>
      <c r="K18" s="8">
        <f t="shared" si="3"/>
        <v>564</v>
      </c>
      <c r="L18" s="8">
        <f t="shared" si="3"/>
        <v>81.55</v>
      </c>
      <c r="M18" s="8">
        <f t="shared" si="3"/>
        <v>27.82</v>
      </c>
      <c r="N18" s="8">
        <f t="shared" si="3"/>
        <v>365</v>
      </c>
      <c r="O18" s="8">
        <f t="shared" si="3"/>
        <v>76</v>
      </c>
      <c r="Q18" s="8">
        <f>IFERROR(+Q10-Q14, 0)</f>
        <v>1155.46</v>
      </c>
    </row>
    <row r="19" spans="1:17" s="6" customFormat="1" x14ac:dyDescent="0.2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</v>
      </c>
      <c r="I19" s="4">
        <f t="shared" si="4"/>
        <v>0</v>
      </c>
      <c r="J19" s="4">
        <f t="shared" si="4"/>
        <v>0</v>
      </c>
      <c r="K19" s="4">
        <f t="shared" si="4"/>
        <v>4.2089552238805972</v>
      </c>
      <c r="L19" s="4">
        <f t="shared" si="4"/>
        <v>0.81103928393833913</v>
      </c>
      <c r="M19" s="4">
        <f t="shared" si="4"/>
        <v>0.53603082851637762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0.90379756736673311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4">
        <f>SUM(OSRRefD20x_0)</f>
        <v>0</v>
      </c>
      <c r="E21" s="14">
        <f>SUM(OSRRefD20x_1)</f>
        <v>0</v>
      </c>
      <c r="F21" s="14">
        <f>SUM(OSRRefD20x_2)</f>
        <v>0</v>
      </c>
      <c r="G21" s="14">
        <f>SUM(OSRRefD20x_3)</f>
        <v>0</v>
      </c>
      <c r="H21" s="14">
        <f>SUM(OSRRefD20x_4)</f>
        <v>0</v>
      </c>
      <c r="I21" s="14">
        <f>SUM(OSRRefD20x_5)</f>
        <v>0</v>
      </c>
      <c r="J21" s="14">
        <f>SUM(OSRRefD20x_6)</f>
        <v>0</v>
      </c>
      <c r="K21" s="14">
        <f>SUM(OSRRefD20x_7)</f>
        <v>0</v>
      </c>
      <c r="L21" s="14">
        <f>SUM(OSRRefD20x_8)</f>
        <v>0</v>
      </c>
      <c r="M21" s="14">
        <f>SUM(OSRRefD20x_9)</f>
        <v>631.58999999999992</v>
      </c>
      <c r="N21" s="14">
        <f>SUM(OSRRefE20x_0)</f>
        <v>63</v>
      </c>
      <c r="O21" s="14">
        <f>SUM(OSRRefE20x_1)</f>
        <v>13</v>
      </c>
      <c r="Q21" s="14">
        <f>SUM(OSRRefG20x)</f>
        <v>707.58999999999992</v>
      </c>
    </row>
    <row r="22" spans="1:17" s="34" customFormat="1" collapsed="1" x14ac:dyDescent="0.25">
      <c r="A22" s="35"/>
      <c r="B22" s="11" t="str">
        <f>CONCATENATE("     ","Bank/card Fees                                    ")</f>
        <v xml:space="preserve">     Bank/card Fees                                    </v>
      </c>
      <c r="C22" s="11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511.59</v>
      </c>
      <c r="N22" s="1">
        <f>SUM(OSRRefE21_0x_0)</f>
        <v>63</v>
      </c>
      <c r="O22" s="1">
        <f>SUM(OSRRefE21_0x_1)</f>
        <v>13</v>
      </c>
      <c r="Q22" s="2">
        <f>SUM(OSRRefD20_0x)+IFERROR(SUM(OSRRefE20_0x),0)</f>
        <v>587.58999999999992</v>
      </c>
    </row>
    <row r="23" spans="1:17" s="34" customFormat="1" hidden="1" outlineLevel="1" x14ac:dyDescent="0.25">
      <c r="A23" s="35"/>
      <c r="B23" s="10" t="str">
        <f>CONCATENATE("          ","6381", " - ","BANK/CREDIT CARD FEES")</f>
        <v xml:space="preserve">          6381 - BANK/CREDIT CARD FEES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511.59</v>
      </c>
      <c r="N23" s="2">
        <v>63</v>
      </c>
      <c r="O23" s="2">
        <v>13</v>
      </c>
      <c r="P23" s="9"/>
      <c r="Q23" s="2">
        <f>SUM(OSRRefD21_0_0x)+IFERROR(SUM(OSRRefE21_0_0x),0)</f>
        <v>587.58999999999992</v>
      </c>
    </row>
    <row r="24" spans="1:17" s="34" customFormat="1" collapsed="1" x14ac:dyDescent="0.25">
      <c r="A24" s="35"/>
      <c r="B24" s="11" t="str">
        <f>CONCATENATE("     ","General                                           ")</f>
        <v xml:space="preserve">     General                                           </v>
      </c>
      <c r="C24" s="11"/>
      <c r="D24" s="1">
        <f>SUM(OSRRefD21_1x_0)</f>
        <v>0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SUM(OSRRefD21_1x_4)</f>
        <v>0</v>
      </c>
      <c r="I24" s="1">
        <f>SUM(OSRRefD21_1x_5)</f>
        <v>0</v>
      </c>
      <c r="J24" s="1">
        <f>SUM(OSRRefD21_1x_6)</f>
        <v>0</v>
      </c>
      <c r="K24" s="1">
        <f>SUM(OSRRefD21_1x_7)</f>
        <v>0</v>
      </c>
      <c r="L24" s="1">
        <f>SUM(OSRRefD21_1x_8)</f>
        <v>0</v>
      </c>
      <c r="M24" s="1">
        <f>SUM(OSRRefD21_1x_9)</f>
        <v>120</v>
      </c>
      <c r="N24" s="1">
        <f>SUM(OSRRefE21_1x_0)</f>
        <v>0</v>
      </c>
      <c r="O24" s="1">
        <f>SUM(OSRRefE21_1x_1)</f>
        <v>0</v>
      </c>
      <c r="Q24" s="2">
        <f>SUM(OSRRefD20_1x)+IFERROR(SUM(OSRRefE20_1x),0)</f>
        <v>120</v>
      </c>
    </row>
    <row r="25" spans="1:17" s="34" customFormat="1" hidden="1" outlineLevel="1" x14ac:dyDescent="0.25">
      <c r="A25" s="35"/>
      <c r="B25" s="10" t="str">
        <f>CONCATENATE("          ","6279", " - ","GENERAL EXPENSE")</f>
        <v xml:space="preserve">          6279 - GENERAL EXPENSE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120</v>
      </c>
      <c r="N25" s="2"/>
      <c r="O25" s="2"/>
      <c r="P25" s="9"/>
      <c r="Q25" s="2">
        <f>SUM(OSRRefD21_1_0x)+IFERROR(SUM(OSRRefE21_1_0x),0)</f>
        <v>120</v>
      </c>
    </row>
    <row r="26" spans="1:17" s="30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3"/>
      <c r="B27" s="16" t="s">
        <v>291</v>
      </c>
      <c r="C27" s="22"/>
      <c r="D27" s="3">
        <f t="shared" ref="D27:M27" si="5">0</f>
        <v>0</v>
      </c>
      <c r="E27" s="3">
        <f t="shared" si="5"/>
        <v>0</v>
      </c>
      <c r="F27" s="3">
        <f t="shared" si="5"/>
        <v>0</v>
      </c>
      <c r="G27" s="3">
        <f t="shared" si="5"/>
        <v>0</v>
      </c>
      <c r="H27" s="3">
        <f t="shared" si="5"/>
        <v>0</v>
      </c>
      <c r="I27" s="3">
        <f t="shared" si="5"/>
        <v>0</v>
      </c>
      <c r="J27" s="3">
        <f t="shared" si="5"/>
        <v>0</v>
      </c>
      <c r="K27" s="3">
        <f t="shared" si="5"/>
        <v>0</v>
      </c>
      <c r="L27" s="3">
        <f t="shared" si="5"/>
        <v>0</v>
      </c>
      <c r="M27" s="3">
        <f t="shared" si="5"/>
        <v>0</v>
      </c>
      <c r="N27" s="3"/>
      <c r="O27" s="3"/>
      <c r="Q27" s="2">
        <f>SUM(OSRRefD23_0x)+IFERROR(SUM(OSRRefE23_0x),0)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274</v>
      </c>
      <c r="C29" s="17"/>
      <c r="D29" s="8">
        <f t="shared" ref="D29:O29" si="6">IFERROR(+D18-D21+D27, 0)</f>
        <v>0</v>
      </c>
      <c r="E29" s="8">
        <f t="shared" si="6"/>
        <v>41.09</v>
      </c>
      <c r="F29" s="8">
        <f t="shared" si="6"/>
        <v>0</v>
      </c>
      <c r="G29" s="8">
        <f t="shared" si="6"/>
        <v>0</v>
      </c>
      <c r="H29" s="8">
        <f t="shared" si="6"/>
        <v>0</v>
      </c>
      <c r="I29" s="8">
        <f t="shared" si="6"/>
        <v>0</v>
      </c>
      <c r="J29" s="8">
        <f t="shared" si="6"/>
        <v>0</v>
      </c>
      <c r="K29" s="8">
        <f t="shared" si="6"/>
        <v>564</v>
      </c>
      <c r="L29" s="8">
        <f t="shared" si="6"/>
        <v>81.55</v>
      </c>
      <c r="M29" s="8">
        <f t="shared" si="6"/>
        <v>-603.76999999999987</v>
      </c>
      <c r="N29" s="8">
        <f t="shared" si="6"/>
        <v>302</v>
      </c>
      <c r="O29" s="8">
        <f t="shared" si="6"/>
        <v>63</v>
      </c>
      <c r="Q29" s="8">
        <f>IFERROR(+Q18-Q21+Q27, 0)</f>
        <v>447.87000000000012</v>
      </c>
    </row>
    <row r="30" spans="1:17" s="6" customFormat="1" x14ac:dyDescent="0.25">
      <c r="B30" s="16"/>
      <c r="C30" s="16"/>
      <c r="D30" s="4">
        <f t="shared" ref="D30:O30" si="7">IFERROR(D29/D10, 0)</f>
        <v>0</v>
      </c>
      <c r="E30" s="4">
        <f t="shared" si="7"/>
        <v>0.37354545454545457</v>
      </c>
      <c r="F30" s="4">
        <f t="shared" si="7"/>
        <v>0</v>
      </c>
      <c r="G30" s="4">
        <f t="shared" si="7"/>
        <v>0</v>
      </c>
      <c r="H30" s="4">
        <f t="shared" si="7"/>
        <v>0</v>
      </c>
      <c r="I30" s="4">
        <f t="shared" si="7"/>
        <v>0</v>
      </c>
      <c r="J30" s="4">
        <f t="shared" si="7"/>
        <v>0</v>
      </c>
      <c r="K30" s="4">
        <f t="shared" si="7"/>
        <v>4.2089552238805972</v>
      </c>
      <c r="L30" s="4">
        <f t="shared" si="7"/>
        <v>0.81103928393833913</v>
      </c>
      <c r="M30" s="4">
        <f t="shared" si="7"/>
        <v>-11.633333333333331</v>
      </c>
      <c r="N30" s="4">
        <f t="shared" si="7"/>
        <v>0.41313269493844051</v>
      </c>
      <c r="O30" s="4">
        <f t="shared" si="7"/>
        <v>0.41721854304635764</v>
      </c>
      <c r="P30" s="18"/>
      <c r="Q30" s="4">
        <f>IFERROR(Q29/Q10, 0)</f>
        <v>0.35032265634166382</v>
      </c>
    </row>
    <row r="31" spans="1:17" x14ac:dyDescent="0.2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25">
      <c r="A32" s="25"/>
      <c r="B32" s="6" t="s">
        <v>125</v>
      </c>
      <c r="C32" s="6"/>
      <c r="D32" s="3"/>
      <c r="E32" s="3">
        <v>18.57</v>
      </c>
      <c r="F32" s="3">
        <v>1.81</v>
      </c>
      <c r="G32" s="3">
        <v>3.45</v>
      </c>
      <c r="H32" s="3"/>
      <c r="I32" s="3">
        <v>-3.48</v>
      </c>
      <c r="J32" s="3">
        <v>-0.38</v>
      </c>
      <c r="K32" s="3">
        <v>28.35</v>
      </c>
      <c r="L32" s="3">
        <v>22.69</v>
      </c>
      <c r="M32" s="3">
        <v>11.93</v>
      </c>
      <c r="N32" s="3">
        <v>334</v>
      </c>
      <c r="O32" s="3">
        <v>96</v>
      </c>
      <c r="Q32" s="2">
        <f>SUM(OSRRefD28_0x)+IFERROR(SUM(OSRRefE28_0x),0)</f>
        <v>512.94000000000005</v>
      </c>
    </row>
    <row r="33" spans="1:17" x14ac:dyDescent="0.2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124</v>
      </c>
      <c r="C34" s="17"/>
      <c r="D34" s="7">
        <f t="shared" ref="D34:O34" si="8">IFERROR(+D29-D32, 0)</f>
        <v>0</v>
      </c>
      <c r="E34" s="7">
        <f t="shared" si="8"/>
        <v>22.520000000000003</v>
      </c>
      <c r="F34" s="7">
        <f t="shared" si="8"/>
        <v>-1.81</v>
      </c>
      <c r="G34" s="7">
        <f t="shared" si="8"/>
        <v>-3.45</v>
      </c>
      <c r="H34" s="7">
        <f t="shared" si="8"/>
        <v>0</v>
      </c>
      <c r="I34" s="7">
        <f t="shared" si="8"/>
        <v>3.48</v>
      </c>
      <c r="J34" s="7">
        <f t="shared" si="8"/>
        <v>0.38</v>
      </c>
      <c r="K34" s="7">
        <f t="shared" si="8"/>
        <v>535.65</v>
      </c>
      <c r="L34" s="7">
        <f t="shared" si="8"/>
        <v>58.86</v>
      </c>
      <c r="M34" s="7">
        <f t="shared" si="8"/>
        <v>-615.69999999999982</v>
      </c>
      <c r="N34" s="7">
        <f t="shared" si="8"/>
        <v>-32</v>
      </c>
      <c r="O34" s="7">
        <f t="shared" si="8"/>
        <v>-33</v>
      </c>
      <c r="Q34" s="7">
        <f>IFERROR(+Q29-Q32, 0)</f>
        <v>-65.069999999999936</v>
      </c>
    </row>
    <row r="35" spans="1:17" ht="15.75" thickTop="1" x14ac:dyDescent="0.25">
      <c r="A35" s="5"/>
      <c r="B35" s="5"/>
      <c r="C35" s="5"/>
      <c r="D35" s="4">
        <f t="shared" ref="D35:O35" si="9">IFERROR(D34/D10, 0)</f>
        <v>0</v>
      </c>
      <c r="E35" s="4">
        <f t="shared" si="9"/>
        <v>0.20472727272727276</v>
      </c>
      <c r="F35" s="4">
        <f t="shared" si="9"/>
        <v>0</v>
      </c>
      <c r="G35" s="4">
        <f t="shared" si="9"/>
        <v>0</v>
      </c>
      <c r="H35" s="4">
        <f t="shared" si="9"/>
        <v>0</v>
      </c>
      <c r="I35" s="4">
        <f t="shared" si="9"/>
        <v>0</v>
      </c>
      <c r="J35" s="4">
        <f t="shared" si="9"/>
        <v>0</v>
      </c>
      <c r="K35" s="4">
        <f t="shared" si="9"/>
        <v>3.9973880597014926</v>
      </c>
      <c r="L35" s="4">
        <f t="shared" si="9"/>
        <v>0.58538040775733469</v>
      </c>
      <c r="M35" s="4">
        <f t="shared" si="9"/>
        <v>-11.863198458574178</v>
      </c>
      <c r="N35" s="4">
        <f t="shared" si="9"/>
        <v>-4.3775649794801641E-2</v>
      </c>
      <c r="O35" s="4">
        <f t="shared" si="9"/>
        <v>-0.2185430463576159</v>
      </c>
      <c r="P35" s="18"/>
      <c r="Q35" s="4">
        <f>IFERROR(Q34/Q10, 0)</f>
        <v>-5.0897571277719059E-2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292</v>
      </c>
      <c r="C38" s="17"/>
      <c r="D38" s="7">
        <f t="shared" ref="D38:O38" si="10">IFERROR(SUM(D34:D37), 0)</f>
        <v>0</v>
      </c>
      <c r="E38" s="7">
        <f t="shared" si="10"/>
        <v>22.724727272727275</v>
      </c>
      <c r="F38" s="7">
        <f t="shared" si="10"/>
        <v>-1.81</v>
      </c>
      <c r="G38" s="7">
        <f t="shared" si="10"/>
        <v>-3.45</v>
      </c>
      <c r="H38" s="7">
        <f t="shared" si="10"/>
        <v>0</v>
      </c>
      <c r="I38" s="7">
        <f t="shared" si="10"/>
        <v>3.48</v>
      </c>
      <c r="J38" s="7">
        <f t="shared" si="10"/>
        <v>0.38</v>
      </c>
      <c r="K38" s="7">
        <f t="shared" si="10"/>
        <v>539.64738805970148</v>
      </c>
      <c r="L38" s="7">
        <f t="shared" si="10"/>
        <v>59.445380407757334</v>
      </c>
      <c r="M38" s="7">
        <f t="shared" si="10"/>
        <v>-627.56319845857399</v>
      </c>
      <c r="N38" s="7">
        <f t="shared" si="10"/>
        <v>-32.043775649794803</v>
      </c>
      <c r="O38" s="7">
        <f t="shared" si="10"/>
        <v>-33.218543046357617</v>
      </c>
      <c r="Q38" s="7">
        <f>IFERROR(SUM(Q34:Q37), 0)</f>
        <v>-65.120897571277652</v>
      </c>
    </row>
    <row r="39" spans="1:17" ht="15.75" thickTop="1" x14ac:dyDescent="0.25">
      <c r="A39" s="5"/>
      <c r="C39" s="5"/>
      <c r="D39" s="4">
        <f t="shared" ref="D39:O39" si="11">IFERROR(D38/D10, 0)</f>
        <v>0</v>
      </c>
      <c r="E39" s="4">
        <f t="shared" si="11"/>
        <v>0.20658842975206615</v>
      </c>
      <c r="F39" s="4">
        <f t="shared" si="11"/>
        <v>0</v>
      </c>
      <c r="G39" s="4">
        <f t="shared" si="11"/>
        <v>0</v>
      </c>
      <c r="H39" s="4">
        <f t="shared" si="11"/>
        <v>0</v>
      </c>
      <c r="I39" s="4">
        <f t="shared" si="11"/>
        <v>0</v>
      </c>
      <c r="J39" s="4">
        <f t="shared" si="11"/>
        <v>0</v>
      </c>
      <c r="K39" s="4">
        <f t="shared" si="11"/>
        <v>4.0272193138783692</v>
      </c>
      <c r="L39" s="4">
        <f t="shared" si="11"/>
        <v>0.5912021920214553</v>
      </c>
      <c r="M39" s="4">
        <f t="shared" si="11"/>
        <v>-12.091776463556339</v>
      </c>
      <c r="N39" s="4">
        <f t="shared" si="11"/>
        <v>-4.3835534404644057E-2</v>
      </c>
      <c r="O39" s="4">
        <f t="shared" si="11"/>
        <v>-0.21999035130038158</v>
      </c>
      <c r="P39" s="18"/>
      <c r="Q39" s="4">
        <f>IFERROR(Q38/Q10, 0)</f>
        <v>-5.0937383215047635E-2</v>
      </c>
    </row>
    <row r="40" spans="1:17" x14ac:dyDescent="0.25">
      <c r="A40" s="5"/>
      <c r="B40" s="27">
        <v>44330.012769791669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A41" s="5"/>
      <c r="B41" s="31" t="s">
        <v>54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6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198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SUM(OSRRefD11x_7)</f>
        <v>134623.31</v>
      </c>
      <c r="L10" s="3">
        <f>SUM(OSRRefD11x_8)</f>
        <v>149061.23000000001</v>
      </c>
      <c r="M10" s="3">
        <f>SUM(OSRRefD11x_9)</f>
        <v>163253.20000000004</v>
      </c>
      <c r="N10" s="3">
        <f>SUM(OSRRefE11x_0)</f>
        <v>87646</v>
      </c>
      <c r="O10" s="3">
        <f>SUM(OSRRefE11x_1)</f>
        <v>5500</v>
      </c>
      <c r="P10" s="24"/>
      <c r="Q10" s="3">
        <f>SUM(OSRRefG11x)</f>
        <v>1491122.21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M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1648</v>
      </c>
      <c r="O11" s="2">
        <v>1711</v>
      </c>
      <c r="Q11" s="2">
        <f>SUM(OSRRefD11_0x)+IFERROR(SUM(OSRRefE11_0x),0)</f>
        <v>3359</v>
      </c>
    </row>
    <row r="12" spans="1:18" s="9" customFormat="1" hidden="1" outlineLevel="1" x14ac:dyDescent="0.25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/>
      <c r="O12" s="2"/>
      <c r="Q12" s="2">
        <f>SUM(OSRRefD11_1x)+IFERROR(SUM(OSRRefE11_1x),0)</f>
        <v>32121.26</v>
      </c>
    </row>
    <row r="13" spans="1:18" s="9" customFormat="1" hidden="1" outlineLevel="1" x14ac:dyDescent="0.25">
      <c r="A13" s="23"/>
      <c r="B13" s="10" t="str">
        <f>CONCATENATE("          ","4052", " - ","TAXABLE SALES-FOOD")</f>
        <v xml:space="preserve">          4052 - TAXABLE SALES-FOOD</v>
      </c>
      <c r="C13" s="22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>
        <f>--48734.68</f>
        <v>48734.68</v>
      </c>
      <c r="N13" s="2"/>
      <c r="O13" s="2"/>
      <c r="Q13" s="2">
        <f>SUM(OSRRefD11_2x)+IFERROR(SUM(OSRRefE11_2x),0)</f>
        <v>380674.79000000004</v>
      </c>
    </row>
    <row r="14" spans="1:18" s="9" customFormat="1" hidden="1" outlineLevel="1" x14ac:dyDescent="0.25">
      <c r="A14" s="23"/>
      <c r="B14" s="10" t="str">
        <f>CONCATENATE("          ","4053", " - ","TAXABLE SALES-FOOD")</f>
        <v xml:space="preserve">          4053 - TAXABLE SALES-FOOD</v>
      </c>
      <c r="C14" s="22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4">0</f>
        <v>0</v>
      </c>
      <c r="H14" s="2">
        <f>--92.59</f>
        <v>92.59</v>
      </c>
      <c r="I14" s="2">
        <f>--38.05</f>
        <v>38.049999999999997</v>
      </c>
      <c r="J14" s="2">
        <f>--46.44</f>
        <v>46.44</v>
      </c>
      <c r="K14" s="2">
        <f>--180.69</f>
        <v>180.69</v>
      </c>
      <c r="L14" s="2">
        <f>--163.51</f>
        <v>163.51</v>
      </c>
      <c r="M14" s="2">
        <f>--161.18</f>
        <v>161.18</v>
      </c>
      <c r="N14" s="2"/>
      <c r="O14" s="2"/>
      <c r="Q14" s="2">
        <f>SUM(OSRRefD11_3x)+IFERROR(SUM(OSRRefE11_3x),0)</f>
        <v>1084.9000000000001</v>
      </c>
    </row>
    <row r="15" spans="1:18" s="9" customFormat="1" hidden="1" outlineLevel="1" x14ac:dyDescent="0.25">
      <c r="A15" s="23"/>
      <c r="B15" s="10" t="str">
        <f>CONCATENATE("          ","4058", " - ","TAXABLE SALES-FOOD")</f>
        <v xml:space="preserve">          4058 - TAXABLE SALES-FOOD</v>
      </c>
      <c r="C15" s="22"/>
      <c r="D15" s="2">
        <f>--974.91</f>
        <v>974.91</v>
      </c>
      <c r="E15" s="2">
        <f t="shared" ref="E15:F16" si="5">0</f>
        <v>0</v>
      </c>
      <c r="F15" s="2">
        <f t="shared" si="5"/>
        <v>0</v>
      </c>
      <c r="G15" s="2">
        <f t="shared" si="4"/>
        <v>0</v>
      </c>
      <c r="H15" s="2">
        <f t="shared" ref="H15:M16" si="6">0</f>
        <v>0</v>
      </c>
      <c r="I15" s="2">
        <f t="shared" si="6"/>
        <v>0</v>
      </c>
      <c r="J15" s="2">
        <f t="shared" si="6"/>
        <v>0</v>
      </c>
      <c r="K15" s="2">
        <f t="shared" si="6"/>
        <v>0</v>
      </c>
      <c r="L15" s="2">
        <f t="shared" si="6"/>
        <v>0</v>
      </c>
      <c r="M15" s="2">
        <f t="shared" si="6"/>
        <v>0</v>
      </c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3"/>
      <c r="B16" s="10" t="str">
        <f>CONCATENATE("          ","4100", " - ","NON-TAXABLE SALES")</f>
        <v xml:space="preserve">          4100 - NON-TAXABLE SALES</v>
      </c>
      <c r="C16" s="22"/>
      <c r="D16" s="2">
        <f>0</f>
        <v>0</v>
      </c>
      <c r="E16" s="2">
        <f t="shared" si="5"/>
        <v>0</v>
      </c>
      <c r="F16" s="2">
        <f t="shared" si="5"/>
        <v>0</v>
      </c>
      <c r="G16" s="2">
        <f t="shared" si="4"/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f t="shared" si="6"/>
        <v>0</v>
      </c>
      <c r="N16" s="2">
        <v>85998</v>
      </c>
      <c r="O16" s="2">
        <v>3789</v>
      </c>
      <c r="Q16" s="2">
        <f>SUM(OSRRefD11_5x)+IFERROR(SUM(OSRRefE11_5x),0)</f>
        <v>89787</v>
      </c>
    </row>
    <row r="17" spans="1:17" s="9" customFormat="1" hidden="1" outlineLevel="1" x14ac:dyDescent="0.25">
      <c r="A17" s="23"/>
      <c r="B17" s="10" t="str">
        <f>CONCATENATE("          ","4151", " - ","NON-TAXABLE SALES-FOOD")</f>
        <v xml:space="preserve">          4151 - NON-TAXABLE SALES-FOOD</v>
      </c>
      <c r="C17" s="22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>
        <f>--35996.95</f>
        <v>35996.949999999997</v>
      </c>
      <c r="K17" s="2">
        <f>--78596.26</f>
        <v>78596.259999999995</v>
      </c>
      <c r="L17" s="2">
        <f>--89340.04</f>
        <v>89340.04</v>
      </c>
      <c r="M17" s="2">
        <f>--91787.27</f>
        <v>91787.27</v>
      </c>
      <c r="N17" s="2"/>
      <c r="O17" s="2"/>
      <c r="Q17" s="2">
        <f>SUM(OSRRefD11_6x)+IFERROR(SUM(OSRRefE11_6x),0)</f>
        <v>924097.12</v>
      </c>
    </row>
    <row r="18" spans="1:17" s="9" customFormat="1" hidden="1" outlineLevel="1" x14ac:dyDescent="0.25">
      <c r="A18" s="23"/>
      <c r="B18" s="10" t="str">
        <f>CONCATENATE("          ","4152", " - ","NON-TAXABLE SALES-FOOD")</f>
        <v xml:space="preserve">          4152 - NON-TAXABLE SALES-FOOD</v>
      </c>
      <c r="C18" s="22"/>
      <c r="D18" s="2">
        <f t="shared" ref="D18:L18" si="7">0</f>
        <v>0</v>
      </c>
      <c r="E18" s="2">
        <f t="shared" si="7"/>
        <v>0</v>
      </c>
      <c r="F18" s="2">
        <f t="shared" si="7"/>
        <v>0</v>
      </c>
      <c r="G18" s="2">
        <f t="shared" si="7"/>
        <v>0</v>
      </c>
      <c r="H18" s="2">
        <f t="shared" si="7"/>
        <v>0</v>
      </c>
      <c r="I18" s="2">
        <f t="shared" si="7"/>
        <v>0</v>
      </c>
      <c r="J18" s="2">
        <f t="shared" si="7"/>
        <v>0</v>
      </c>
      <c r="K18" s="2">
        <f t="shared" si="7"/>
        <v>0</v>
      </c>
      <c r="L18" s="2">
        <f t="shared" si="7"/>
        <v>0</v>
      </c>
      <c r="M18" s="2">
        <f>--11580.95</f>
        <v>11580.95</v>
      </c>
      <c r="N18" s="2"/>
      <c r="O18" s="2"/>
      <c r="Q18" s="2">
        <f>SUM(OSRRefD11_7x)+IFERROR(SUM(OSRRefE11_7x),0)</f>
        <v>11580.95</v>
      </c>
    </row>
    <row r="19" spans="1:17" s="9" customFormat="1" hidden="1" outlineLevel="1" x14ac:dyDescent="0.25">
      <c r="A19" s="23"/>
      <c r="B19" s="10" t="str">
        <f>CONCATENATE("          ","4153", " - ","NON-TAXABLE SALES-FOOD")</f>
        <v xml:space="preserve">          4153 - NON-TAXABLE SALES-FOOD</v>
      </c>
      <c r="C19" s="22"/>
      <c r="D19" s="2">
        <f>--17828.03</f>
        <v>17828.03</v>
      </c>
      <c r="E19" s="2">
        <f>--9137.39</f>
        <v>9137.39</v>
      </c>
      <c r="F19" s="2">
        <f>--3278.36</f>
        <v>3278.36</v>
      </c>
      <c r="G19" s="2">
        <f>-14477.2</f>
        <v>-14477.2</v>
      </c>
      <c r="H19" s="2">
        <f>--10357.28</f>
        <v>10357.280000000001</v>
      </c>
      <c r="I19" s="2">
        <f>--3637.54</f>
        <v>3637.54</v>
      </c>
      <c r="J19" s="2">
        <f>--2207.76</f>
        <v>2207.7600000000002</v>
      </c>
      <c r="K19" s="2">
        <f>--5865.41</f>
        <v>5865.41</v>
      </c>
      <c r="L19" s="2">
        <f>--5170.79</f>
        <v>5170.79</v>
      </c>
      <c r="M19" s="2">
        <f>--4436.92</f>
        <v>4436.92</v>
      </c>
      <c r="N19" s="2"/>
      <c r="O19" s="2"/>
      <c r="Q19" s="2">
        <f>SUM(OSRRefD11_8x)+IFERROR(SUM(OSRRefE11_8x),0)</f>
        <v>47442.280000000006</v>
      </c>
    </row>
    <row r="20" spans="1:17" x14ac:dyDescent="0.25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25">
      <c r="A21" s="23"/>
      <c r="B21" s="16" t="s">
        <v>217</v>
      </c>
      <c r="C21" s="22"/>
      <c r="D21" s="3">
        <f>SUM(OSRRefD14x_0)</f>
        <v>11689.62</v>
      </c>
      <c r="E21" s="3">
        <f>SUM(OSRRefD14x_1)</f>
        <v>50318.539999999994</v>
      </c>
      <c r="F21" s="3">
        <f>SUM(OSRRefD14x_2)</f>
        <v>45417.08</v>
      </c>
      <c r="G21" s="3">
        <f>SUM(OSRRefD14x_3)</f>
        <v>79382</v>
      </c>
      <c r="H21" s="3">
        <f>SUM(OSRRefD14x_4)</f>
        <v>44102.18</v>
      </c>
      <c r="I21" s="3">
        <f>SUM(OSRRefD14x_5)</f>
        <v>38808.870000000003</v>
      </c>
      <c r="J21" s="3">
        <f>SUM(OSRRefD14x_6)</f>
        <v>33302.44</v>
      </c>
      <c r="K21" s="3">
        <f>SUM(OSRRefD14x_7)</f>
        <v>37922.839999999997</v>
      </c>
      <c r="L21" s="3">
        <f>SUM(OSRRefD14x_8)</f>
        <v>37683.75</v>
      </c>
      <c r="M21" s="3">
        <f>SUM(OSRRefD14x_9)</f>
        <v>50783.16</v>
      </c>
      <c r="N21" s="3">
        <f>SUM(OSRRefE14x_0)</f>
        <v>24806</v>
      </c>
      <c r="O21" s="3">
        <f>SUM(OSRRefE14x_1)</f>
        <v>1430</v>
      </c>
      <c r="Q21" s="3">
        <f>SUM(OSRRefG14x)</f>
        <v>455646.47999999992</v>
      </c>
    </row>
    <row r="22" spans="1:17" s="9" customFormat="1" hidden="1" outlineLevel="1" x14ac:dyDescent="0.25">
      <c r="A22" s="23"/>
      <c r="B22" s="10" t="str">
        <f>CONCATENATE("          ","5000", " - ","PURCHASES @ COST")</f>
        <v xml:space="preserve">          5000 - PURCHASES @ COST</v>
      </c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24806</v>
      </c>
      <c r="O22" s="2">
        <v>1430</v>
      </c>
      <c r="Q22" s="2">
        <f>SUM(OSRRefD14_0x)+IFERROR(SUM(OSRRefE14_0x),0)</f>
        <v>26236</v>
      </c>
    </row>
    <row r="23" spans="1:17" s="9" customFormat="1" hidden="1" outlineLevel="1" x14ac:dyDescent="0.25">
      <c r="A23" s="23"/>
      <c r="B23" s="10" t="str">
        <f>CONCATENATE("          ","5053", " - ","PURCHASES @ COST-FOOD")</f>
        <v xml:space="preserve">          5053 - PURCHASES @ COST-FOOD</v>
      </c>
      <c r="C23" s="22"/>
      <c r="D23" s="2">
        <v>8280.6200000000008</v>
      </c>
      <c r="E23" s="2">
        <v>80529.539999999994</v>
      </c>
      <c r="F23" s="2">
        <v>41555.599999999999</v>
      </c>
      <c r="G23" s="2">
        <v>65171.1</v>
      </c>
      <c r="H23" s="2">
        <v>39551.18</v>
      </c>
      <c r="I23" s="2">
        <v>34549.870000000003</v>
      </c>
      <c r="J23" s="2">
        <v>30885.439999999999</v>
      </c>
      <c r="K23" s="2">
        <v>44580.84</v>
      </c>
      <c r="L23" s="2">
        <v>32547.75</v>
      </c>
      <c r="M23" s="2">
        <v>50154.23</v>
      </c>
      <c r="N23" s="2"/>
      <c r="O23" s="2"/>
      <c r="Q23" s="2">
        <f>SUM(OSRRefD14_1x)+IFERROR(SUM(OSRRefE14_1x),0)</f>
        <v>427806.16999999993</v>
      </c>
    </row>
    <row r="24" spans="1:17" s="9" customFormat="1" hidden="1" outlineLevel="1" x14ac:dyDescent="0.25">
      <c r="A24" s="23"/>
      <c r="B24" s="10" t="str">
        <f>CONCATENATE("          ","5059", " - ","PURCHASES @ COST-FOOD")</f>
        <v xml:space="preserve">          5059 - PURCHASES @ COST-FOOD</v>
      </c>
      <c r="C24" s="22"/>
      <c r="D24" s="2">
        <v>3409</v>
      </c>
      <c r="E24" s="2">
        <v>-30211</v>
      </c>
      <c r="F24" s="2">
        <v>3861.48</v>
      </c>
      <c r="G24" s="2">
        <v>14210.9</v>
      </c>
      <c r="H24" s="2">
        <v>4551</v>
      </c>
      <c r="I24" s="2">
        <v>4259</v>
      </c>
      <c r="J24" s="2">
        <v>2417</v>
      </c>
      <c r="K24" s="2">
        <v>-6658</v>
      </c>
      <c r="L24" s="2">
        <v>5136</v>
      </c>
      <c r="M24" s="2">
        <v>628.92999999999995</v>
      </c>
      <c r="N24" s="2"/>
      <c r="O24" s="2"/>
      <c r="Q24" s="2">
        <f>SUM(OSRRefD14_2x)+IFERROR(SUM(OSRRefE14_2x),0)</f>
        <v>1604.309999999999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6"/>
      <c r="B26" s="17" t="s">
        <v>105</v>
      </c>
      <c r="C26" s="17"/>
      <c r="D26" s="8">
        <f t="shared" ref="D26:O26" si="8">IFERROR(+D10-D21, 0)</f>
        <v>8613.2099999999973</v>
      </c>
      <c r="E26" s="8">
        <f t="shared" si="8"/>
        <v>4228.4800000000105</v>
      </c>
      <c r="F26" s="8">
        <f t="shared" si="8"/>
        <v>185615.55</v>
      </c>
      <c r="G26" s="8">
        <f t="shared" si="8"/>
        <v>116289.71999999997</v>
      </c>
      <c r="H26" s="8">
        <f t="shared" si="8"/>
        <v>127808.55000000002</v>
      </c>
      <c r="I26" s="8">
        <f t="shared" si="8"/>
        <v>118440.06000000003</v>
      </c>
      <c r="J26" s="8">
        <f t="shared" si="8"/>
        <v>87022.17</v>
      </c>
      <c r="K26" s="8">
        <f t="shared" si="8"/>
        <v>96700.47</v>
      </c>
      <c r="L26" s="8">
        <f t="shared" si="8"/>
        <v>111377.48000000001</v>
      </c>
      <c r="M26" s="8">
        <f t="shared" si="8"/>
        <v>112470.04000000004</v>
      </c>
      <c r="N26" s="8">
        <f t="shared" si="8"/>
        <v>62840</v>
      </c>
      <c r="O26" s="8">
        <f t="shared" si="8"/>
        <v>4070</v>
      </c>
      <c r="Q26" s="8">
        <f>IFERROR(+Q10-Q21, 0)</f>
        <v>1035475.73</v>
      </c>
    </row>
    <row r="27" spans="1:17" s="6" customFormat="1" x14ac:dyDescent="0.25">
      <c r="B27" s="16"/>
      <c r="C27" s="16"/>
      <c r="D27" s="4">
        <f t="shared" ref="D27:O27" si="9">IFERROR(D26/D10, 0)</f>
        <v>0.4242369167254022</v>
      </c>
      <c r="E27" s="4">
        <f t="shared" si="9"/>
        <v>7.7519908511959223E-2</v>
      </c>
      <c r="F27" s="4">
        <f t="shared" si="9"/>
        <v>0.80341703247718732</v>
      </c>
      <c r="G27" s="4">
        <f t="shared" si="9"/>
        <v>0.59431030707963306</v>
      </c>
      <c r="H27" s="4">
        <f t="shared" si="9"/>
        <v>0.74345882889334491</v>
      </c>
      <c r="I27" s="4">
        <f t="shared" si="9"/>
        <v>0.75320105516775226</v>
      </c>
      <c r="J27" s="4">
        <f t="shared" si="9"/>
        <v>0.72322835702521704</v>
      </c>
      <c r="K27" s="4">
        <f t="shared" si="9"/>
        <v>0.71830405893303328</v>
      </c>
      <c r="L27" s="4">
        <f t="shared" si="9"/>
        <v>0.74719281465743981</v>
      </c>
      <c r="M27" s="4">
        <f t="shared" si="9"/>
        <v>0.68893007916537019</v>
      </c>
      <c r="N27" s="4">
        <f t="shared" si="9"/>
        <v>0.71697510439723433</v>
      </c>
      <c r="O27" s="4">
        <f t="shared" si="9"/>
        <v>0.74</v>
      </c>
      <c r="P27" s="18"/>
      <c r="Q27" s="4">
        <f>IFERROR(Q26/Q10, 0)</f>
        <v>0.69442713887280905</v>
      </c>
    </row>
    <row r="28" spans="1:17" x14ac:dyDescent="0.25">
      <c r="A28" s="5"/>
      <c r="B28" s="6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5" customFormat="1" x14ac:dyDescent="0.25">
      <c r="A29" s="6"/>
      <c r="B29" s="16" t="s">
        <v>254</v>
      </c>
      <c r="C29" s="6"/>
      <c r="D29" s="14">
        <f>SUM(OSRRefD20x_0)</f>
        <v>313095.14999999997</v>
      </c>
      <c r="E29" s="14">
        <f>SUM(OSRRefD20x_1)</f>
        <v>282928.90999999992</v>
      </c>
      <c r="F29" s="14">
        <f>SUM(OSRRefD20x_2)</f>
        <v>359684.63000000018</v>
      </c>
      <c r="G29" s="14">
        <f>SUM(OSRRefD20x_3)</f>
        <v>405482.78</v>
      </c>
      <c r="H29" s="14">
        <f>SUM(OSRRefD20x_4)</f>
        <v>353034.64999999997</v>
      </c>
      <c r="I29" s="14">
        <f>SUM(OSRRefD20x_5)</f>
        <v>364083.85000000003</v>
      </c>
      <c r="J29" s="14">
        <f>SUM(OSRRefD20x_6)</f>
        <v>293889.24000000005</v>
      </c>
      <c r="K29" s="14">
        <f>SUM(OSRRefD20x_7)</f>
        <v>319426.63000000006</v>
      </c>
      <c r="L29" s="14">
        <f>SUM(OSRRefD20x_8)</f>
        <v>322124.90000000002</v>
      </c>
      <c r="M29" s="14">
        <f>SUM(OSRRefD20x_9)</f>
        <v>367637.86000000004</v>
      </c>
      <c r="N29" s="14">
        <f>SUM(OSRRefE20x_0)</f>
        <v>354268.99930360314</v>
      </c>
      <c r="O29" s="14">
        <f>SUM(OSRRefE20x_1)</f>
        <v>312340.39048037236</v>
      </c>
      <c r="Q29" s="14">
        <f>SUM(OSRRefG20x)</f>
        <v>4047997.9897839753</v>
      </c>
    </row>
    <row r="30" spans="1:17" s="34" customFormat="1" collapsed="1" x14ac:dyDescent="0.25">
      <c r="A30" s="35"/>
      <c r="B30" s="11" t="str">
        <f>CONCATENATE("     ","*Benefits                                         ")</f>
        <v xml:space="preserve">     *Benefits                                         </v>
      </c>
      <c r="C30" s="11"/>
      <c r="D30" s="1">
        <f>SUM(OSRRefD21_0x_0)</f>
        <v>97515.280000000013</v>
      </c>
      <c r="E30" s="1">
        <f>SUM(OSRRefD21_0x_1)</f>
        <v>93657.88</v>
      </c>
      <c r="F30" s="1">
        <f>SUM(OSRRefD21_0x_2)</f>
        <v>97784.810000000012</v>
      </c>
      <c r="G30" s="1">
        <f>SUM(OSRRefD21_0x_3)</f>
        <v>109909.59</v>
      </c>
      <c r="H30" s="1">
        <f>SUM(OSRRefD21_0x_4)</f>
        <v>102249.69</v>
      </c>
      <c r="I30" s="1">
        <f>SUM(OSRRefD21_0x_5)</f>
        <v>96760.07</v>
      </c>
      <c r="J30" s="1">
        <f>SUM(OSRRefD21_0x_6)</f>
        <v>91885.720000000016</v>
      </c>
      <c r="K30" s="1">
        <f>SUM(OSRRefD21_0x_7)</f>
        <v>93584.98</v>
      </c>
      <c r="L30" s="1">
        <f>SUM(OSRRefD21_0x_8)</f>
        <v>93868.53</v>
      </c>
      <c r="M30" s="1">
        <f>SUM(OSRRefD21_0x_9)</f>
        <v>104829.08</v>
      </c>
      <c r="N30" s="1">
        <f>SUM(OSRRefE21_0x_0)</f>
        <v>101655.99969129545</v>
      </c>
      <c r="O30" s="1">
        <f>SUM(OSRRefE21_0x_1)</f>
        <v>100511.23586806469</v>
      </c>
      <c r="Q30" s="2">
        <f>SUM(OSRRefD20_0x)+IFERROR(SUM(OSRRefE20_0x),0)</f>
        <v>1184212.86555936</v>
      </c>
    </row>
    <row r="31" spans="1:17" s="34" customFormat="1" hidden="1" outlineLevel="1" x14ac:dyDescent="0.25">
      <c r="A31" s="35"/>
      <c r="B31" s="10" t="str">
        <f>CONCATENATE("          ","6111", " - ","F.I.C.A.")</f>
        <v xml:space="preserve">          6111 - F.I.C.A.</v>
      </c>
      <c r="C31" s="11"/>
      <c r="D31" s="2">
        <v>9015.16</v>
      </c>
      <c r="E31" s="2">
        <v>9402.5499999999993</v>
      </c>
      <c r="F31" s="2">
        <v>10588.36</v>
      </c>
      <c r="G31" s="2">
        <v>17524.48</v>
      </c>
      <c r="H31" s="2">
        <v>9464.19</v>
      </c>
      <c r="I31" s="2">
        <v>8756.08</v>
      </c>
      <c r="J31" s="2">
        <v>9304.4500000000007</v>
      </c>
      <c r="K31" s="2">
        <v>9406.1299999999992</v>
      </c>
      <c r="L31" s="2">
        <v>9770.2999999999993</v>
      </c>
      <c r="M31" s="2">
        <v>14541.6</v>
      </c>
      <c r="N31" s="2">
        <v>10401.033517910801</v>
      </c>
      <c r="O31" s="2">
        <v>10427.2986139108</v>
      </c>
      <c r="P31" s="9"/>
      <c r="Q31" s="2">
        <f>SUM(OSRRefD21_0_0x)+IFERROR(SUM(OSRRefE21_0_0x),0)</f>
        <v>128601.63213182162</v>
      </c>
    </row>
    <row r="32" spans="1:17" s="34" customFormat="1" hidden="1" outlineLevel="1" x14ac:dyDescent="0.25">
      <c r="A32" s="35"/>
      <c r="B32" s="10" t="str">
        <f>CONCATENATE("          ","6112", " - ","COMPENSATION INSURANCE")</f>
        <v xml:space="preserve">          6112 - COMPENSATION INSURANCE</v>
      </c>
      <c r="C32" s="11"/>
      <c r="D32" s="2">
        <v>4140.1099999999997</v>
      </c>
      <c r="E32" s="2">
        <v>4477.29</v>
      </c>
      <c r="F32" s="2">
        <v>6099.43</v>
      </c>
      <c r="G32" s="2">
        <v>5487.9</v>
      </c>
      <c r="H32" s="2">
        <v>9429.67</v>
      </c>
      <c r="I32" s="2">
        <v>9429.67</v>
      </c>
      <c r="J32" s="2">
        <v>1086.93</v>
      </c>
      <c r="K32" s="2">
        <v>5336.1</v>
      </c>
      <c r="L32" s="2">
        <v>5262.93</v>
      </c>
      <c r="M32" s="2">
        <v>5039.95</v>
      </c>
      <c r="N32" s="2">
        <v>6196.4834539384601</v>
      </c>
      <c r="O32" s="2">
        <v>5413.5884839384598</v>
      </c>
      <c r="P32" s="9"/>
      <c r="Q32" s="2">
        <f>SUM(OSRRefD21_0_1x)+IFERROR(SUM(OSRRefE21_0_1x),0)</f>
        <v>67400.05193787691</v>
      </c>
    </row>
    <row r="33" spans="1:17" s="34" customFormat="1" hidden="1" outlineLevel="1" x14ac:dyDescent="0.25">
      <c r="A33" s="35"/>
      <c r="B33" s="10" t="str">
        <f>CONCATENATE("          ","6113", " - ","GROUP INSURANCE")</f>
        <v xml:space="preserve">          6113 - GROUP INSURANCE</v>
      </c>
      <c r="C33" s="11"/>
      <c r="D33" s="2">
        <v>55309.61</v>
      </c>
      <c r="E33" s="2">
        <v>55053.17</v>
      </c>
      <c r="F33" s="2">
        <v>55053.17</v>
      </c>
      <c r="G33" s="2">
        <v>54369.27</v>
      </c>
      <c r="H33" s="2">
        <v>54369.27</v>
      </c>
      <c r="I33" s="2">
        <v>54369.29</v>
      </c>
      <c r="J33" s="2">
        <v>53968.59</v>
      </c>
      <c r="K33" s="2">
        <v>53968.57</v>
      </c>
      <c r="L33" s="2">
        <v>53968.59</v>
      </c>
      <c r="M33" s="2">
        <v>53408.89</v>
      </c>
      <c r="N33" s="2">
        <v>61525.538461538497</v>
      </c>
      <c r="O33" s="2">
        <v>61708.307692307702</v>
      </c>
      <c r="P33" s="9"/>
      <c r="Q33" s="2">
        <f>SUM(OSRRefD21_0_2x)+IFERROR(SUM(OSRRefE21_0_2x),0)</f>
        <v>667072.26615384629</v>
      </c>
    </row>
    <row r="34" spans="1:17" s="34" customFormat="1" hidden="1" outlineLevel="1" x14ac:dyDescent="0.25">
      <c r="A34" s="35"/>
      <c r="B34" s="10" t="str">
        <f>CONCATENATE("          ","6114", " - ","STATE UNEMPLOYMENT INSURANCE")</f>
        <v xml:space="preserve">          6114 - STATE UNEMPLOYMENT INSURANCE</v>
      </c>
      <c r="C34" s="11"/>
      <c r="D34" s="2">
        <v>374.57</v>
      </c>
      <c r="E34" s="2">
        <v>323.45999999999998</v>
      </c>
      <c r="F34" s="2">
        <v>410.96</v>
      </c>
      <c r="G34" s="2">
        <v>373.89</v>
      </c>
      <c r="H34" s="2">
        <v>671.25</v>
      </c>
      <c r="I34" s="2"/>
      <c r="J34" s="2">
        <v>720.37</v>
      </c>
      <c r="K34" s="2">
        <v>369.62</v>
      </c>
      <c r="L34" s="2">
        <v>364.7</v>
      </c>
      <c r="M34" s="2">
        <v>347.65</v>
      </c>
      <c r="N34" s="2">
        <v>402.11060559999999</v>
      </c>
      <c r="O34" s="2">
        <v>354.66242560000001</v>
      </c>
      <c r="P34" s="9"/>
      <c r="Q34" s="2">
        <f>SUM(OSRRefD21_0_3x)+IFERROR(SUM(OSRRefE21_0_3x),0)</f>
        <v>4713.2430311999997</v>
      </c>
    </row>
    <row r="35" spans="1:17" s="34" customFormat="1" hidden="1" outlineLevel="1" x14ac:dyDescent="0.25">
      <c r="A35" s="35"/>
      <c r="B35" s="10" t="str">
        <f>CONCATENATE("          ","6115", " - ","P.E.R.S.")</f>
        <v xml:space="preserve">          6115 - P.E.R.S.</v>
      </c>
      <c r="C35" s="11"/>
      <c r="D35" s="2">
        <v>10026.56</v>
      </c>
      <c r="E35" s="2">
        <v>6333.53</v>
      </c>
      <c r="F35" s="2">
        <v>6333.53</v>
      </c>
      <c r="G35" s="2">
        <v>6014.35</v>
      </c>
      <c r="H35" s="2">
        <v>8954.64</v>
      </c>
      <c r="I35" s="2">
        <v>6252.05</v>
      </c>
      <c r="J35" s="2">
        <v>9264.23</v>
      </c>
      <c r="K35" s="2">
        <v>6297.64</v>
      </c>
      <c r="L35" s="2">
        <v>6377.95</v>
      </c>
      <c r="M35" s="2">
        <v>6315.19</v>
      </c>
      <c r="N35" s="2">
        <v>5690.9080338461599</v>
      </c>
      <c r="O35" s="2">
        <v>5690.9080338461599</v>
      </c>
      <c r="P35" s="9"/>
      <c r="Q35" s="2">
        <f>SUM(OSRRefD21_0_4x)+IFERROR(SUM(OSRRefE21_0_4x),0)</f>
        <v>83551.486067692313</v>
      </c>
    </row>
    <row r="36" spans="1:17" s="34" customFormat="1" hidden="1" outlineLevel="1" x14ac:dyDescent="0.25">
      <c r="A36" s="35"/>
      <c r="B36" s="10" t="str">
        <f>CONCATENATE("          ","6116", " - ","EDUCATIONAL BENEFITS")</f>
        <v xml:space="preserve">          6116 - EDUCATIONAL BENEFITS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4" customFormat="1" hidden="1" outlineLevel="1" x14ac:dyDescent="0.25">
      <c r="A37" s="35"/>
      <c r="B37" s="10" t="str">
        <f>CONCATENATE("          ","6117", " - ","RETIREMENT STAFF HOURLY")</f>
        <v xml:space="preserve">          6117 - RETIREMENT STAFF HOURLY</v>
      </c>
      <c r="C37" s="11"/>
      <c r="D37" s="2">
        <v>1969.14</v>
      </c>
      <c r="E37" s="2">
        <v>1373.88</v>
      </c>
      <c r="F37" s="2">
        <v>1526.6</v>
      </c>
      <c r="G37" s="2">
        <v>1396.69</v>
      </c>
      <c r="H37" s="2">
        <v>1420.55</v>
      </c>
      <c r="I37" s="2">
        <v>1345.94</v>
      </c>
      <c r="J37" s="2">
        <v>1440.43</v>
      </c>
      <c r="K37" s="2">
        <v>1429.17</v>
      </c>
      <c r="L37" s="2">
        <v>2091.52</v>
      </c>
      <c r="M37" s="2">
        <v>1408.97</v>
      </c>
      <c r="N37" s="2"/>
      <c r="O37" s="2"/>
      <c r="P37" s="9"/>
      <c r="Q37" s="2">
        <f>SUM(OSRRefD21_0_6x)+IFERROR(SUM(OSRRefE21_0_6x),0)</f>
        <v>15402.890000000001</v>
      </c>
    </row>
    <row r="38" spans="1:17" s="34" customFormat="1" hidden="1" outlineLevel="1" x14ac:dyDescent="0.25">
      <c r="A38" s="35"/>
      <c r="B38" s="10" t="str">
        <f>CONCATENATE("          ","6118", " - ","VACATION")</f>
        <v xml:space="preserve">          6118 - VACATION</v>
      </c>
      <c r="C38" s="11"/>
      <c r="D38" s="2">
        <v>8012.45</v>
      </c>
      <c r="E38" s="2">
        <v>8430.9699999999993</v>
      </c>
      <c r="F38" s="2">
        <v>8977.9599999999991</v>
      </c>
      <c r="G38" s="2">
        <v>12908.82</v>
      </c>
      <c r="H38" s="2">
        <v>8977.98</v>
      </c>
      <c r="I38" s="2">
        <v>8845.1200000000008</v>
      </c>
      <c r="J38" s="2">
        <v>8969.57</v>
      </c>
      <c r="K38" s="2">
        <v>8303.74</v>
      </c>
      <c r="L38" s="2">
        <v>7946.2</v>
      </c>
      <c r="M38" s="2">
        <v>12746.94</v>
      </c>
      <c r="N38" s="2">
        <v>8197.2984153846191</v>
      </c>
      <c r="O38" s="2">
        <v>8214.4584153846208</v>
      </c>
      <c r="P38" s="9"/>
      <c r="Q38" s="2">
        <f>SUM(OSRRefD21_0_7x)+IFERROR(SUM(OSRRefE21_0_7x),0)</f>
        <v>110531.50683076924</v>
      </c>
    </row>
    <row r="39" spans="1:17" s="34" customFormat="1" hidden="1" outlineLevel="1" x14ac:dyDescent="0.25">
      <c r="A39" s="35"/>
      <c r="B39" s="10" t="str">
        <f>CONCATENATE("          ","6119", " - ","SICK LEAVE")</f>
        <v xml:space="preserve">          6119 - SICK LEAVE</v>
      </c>
      <c r="C39" s="11"/>
      <c r="D39" s="2">
        <v>5655.13</v>
      </c>
      <c r="E39" s="2">
        <v>5575.88</v>
      </c>
      <c r="F39" s="2">
        <v>5575.88</v>
      </c>
      <c r="G39" s="2">
        <v>8065.14</v>
      </c>
      <c r="H39" s="2">
        <v>5575.88</v>
      </c>
      <c r="I39" s="2">
        <v>5575.88</v>
      </c>
      <c r="J39" s="2">
        <v>5594.46</v>
      </c>
      <c r="K39" s="2">
        <v>5531.73</v>
      </c>
      <c r="L39" s="2">
        <v>5594.46</v>
      </c>
      <c r="M39" s="2">
        <v>8187.45</v>
      </c>
      <c r="N39" s="2">
        <v>5217.6272030769196</v>
      </c>
      <c r="O39" s="2">
        <v>4677.0122030769198</v>
      </c>
      <c r="P39" s="9"/>
      <c r="Q39" s="2">
        <f>SUM(OSRRefD21_0_8x)+IFERROR(SUM(OSRRefE21_0_8x),0)</f>
        <v>70826.52940615383</v>
      </c>
    </row>
    <row r="40" spans="1:17" s="34" customFormat="1" hidden="1" outlineLevel="1" x14ac:dyDescent="0.25">
      <c r="A40" s="35"/>
      <c r="B40" s="10" t="str">
        <f>CONCATENATE("          ","6156", " - ","EMPLOYEE MEALS")</f>
        <v xml:space="preserve">          6156 - EMPLOYEE MEALS</v>
      </c>
      <c r="C40" s="11"/>
      <c r="D40" s="2">
        <v>3012.55</v>
      </c>
      <c r="E40" s="2">
        <v>2687.15</v>
      </c>
      <c r="F40" s="2">
        <v>3218.92</v>
      </c>
      <c r="G40" s="2">
        <v>3769.05</v>
      </c>
      <c r="H40" s="2">
        <v>3386.26</v>
      </c>
      <c r="I40" s="2">
        <v>2186.04</v>
      </c>
      <c r="J40" s="2">
        <v>1536.69</v>
      </c>
      <c r="K40" s="2">
        <v>2942.28</v>
      </c>
      <c r="L40" s="2">
        <v>2491.88</v>
      </c>
      <c r="M40" s="2">
        <v>2832.44</v>
      </c>
      <c r="N40" s="2">
        <v>4025</v>
      </c>
      <c r="O40" s="2">
        <v>4025</v>
      </c>
      <c r="P40" s="9"/>
      <c r="Q40" s="2">
        <f>SUM(OSRRefD21_0_9x)+IFERROR(SUM(OSRRefE21_0_9x),0)</f>
        <v>36113.259999999995</v>
      </c>
    </row>
    <row r="41" spans="1:17" s="34" customFormat="1" collapsed="1" x14ac:dyDescent="0.25">
      <c r="A41" s="35"/>
      <c r="B41" s="11" t="str">
        <f>CONCATENATE("     ","*Payroll                                          ")</f>
        <v xml:space="preserve">     *Payroll                                          </v>
      </c>
      <c r="C41" s="11"/>
      <c r="D41" s="1">
        <f>SUM(OSRRefD21_1x_0)</f>
        <v>123425.57999999999</v>
      </c>
      <c r="E41" s="1">
        <f>SUM(OSRRefD21_1x_1)</f>
        <v>118437.17</v>
      </c>
      <c r="F41" s="1">
        <f>SUM(OSRRefD21_1x_2)</f>
        <v>149938.78</v>
      </c>
      <c r="G41" s="1">
        <f>SUM(OSRRefD21_1x_3)</f>
        <v>175455.66999999998</v>
      </c>
      <c r="H41" s="1">
        <f>SUM(OSRRefD21_1x_4)</f>
        <v>135166.41</v>
      </c>
      <c r="I41" s="1">
        <f>SUM(OSRRefD21_1x_5)</f>
        <v>117024.06</v>
      </c>
      <c r="J41" s="1">
        <f>SUM(OSRRefD21_1x_6)</f>
        <v>136745.51999999999</v>
      </c>
      <c r="K41" s="1">
        <f>SUM(OSRRefD21_1x_7)</f>
        <v>122628.34999999999</v>
      </c>
      <c r="L41" s="1">
        <f>SUM(OSRRefD21_1x_8)</f>
        <v>133404.63</v>
      </c>
      <c r="M41" s="1">
        <f>SUM(OSRRefD21_1x_9)</f>
        <v>148922.57000000004</v>
      </c>
      <c r="N41" s="1">
        <f>SUM(OSRRefE21_1x_0)</f>
        <v>141242.9996123077</v>
      </c>
      <c r="O41" s="1">
        <f>SUM(OSRRefE21_1x_1)</f>
        <v>123517.1546123077</v>
      </c>
      <c r="Q41" s="2">
        <f>SUM(OSRRefD20_1x)+IFERROR(SUM(OSRRefE20_1x),0)</f>
        <v>1625908.8942246153</v>
      </c>
    </row>
    <row r="42" spans="1:17" s="34" customFormat="1" hidden="1" outlineLevel="1" x14ac:dyDescent="0.25">
      <c r="A42" s="35"/>
      <c r="B42" s="10" t="str">
        <f>CONCATENATE("          ","6001", " - ","ADMINISTRATIVE SALARIES")</f>
        <v xml:space="preserve">          6001 - ADMINISTRATIVE SALARIES</v>
      </c>
      <c r="C42" s="11"/>
      <c r="D42" s="2">
        <v>22406.87</v>
      </c>
      <c r="E42" s="2">
        <v>16445</v>
      </c>
      <c r="F42" s="2">
        <v>20028.82</v>
      </c>
      <c r="G42" s="2">
        <v>21715.45</v>
      </c>
      <c r="H42" s="2">
        <v>18473.91</v>
      </c>
      <c r="I42" s="2">
        <v>16919.009999999998</v>
      </c>
      <c r="J42" s="2">
        <v>24737.84</v>
      </c>
      <c r="K42" s="2">
        <v>19625.36</v>
      </c>
      <c r="L42" s="2">
        <v>19071.89</v>
      </c>
      <c r="M42" s="2">
        <v>22796.34</v>
      </c>
      <c r="N42" s="2">
        <v>15493.7076923077</v>
      </c>
      <c r="O42" s="2">
        <v>15493.7076923077</v>
      </c>
      <c r="P42" s="9"/>
      <c r="Q42" s="2">
        <f>SUM(OSRRefD21_1_0x)+IFERROR(SUM(OSRRefE21_1_0x),0)</f>
        <v>233207.90538461541</v>
      </c>
    </row>
    <row r="43" spans="1:17" s="34" customFormat="1" hidden="1" outlineLevel="1" x14ac:dyDescent="0.25">
      <c r="A43" s="35"/>
      <c r="B43" s="10" t="str">
        <f>CONCATENATE("          ","6002", " - ","STAFF SALARIES")</f>
        <v xml:space="preserve">          6002 - STAFF SALARIES</v>
      </c>
      <c r="C43" s="11"/>
      <c r="D43" s="2">
        <v>55335.5</v>
      </c>
      <c r="E43" s="2">
        <v>42270.98</v>
      </c>
      <c r="F43" s="2">
        <v>43207.97</v>
      </c>
      <c r="G43" s="2">
        <v>48280</v>
      </c>
      <c r="H43" s="2">
        <v>36179.25</v>
      </c>
      <c r="I43" s="2">
        <v>37605.06</v>
      </c>
      <c r="J43" s="2">
        <v>46627.77</v>
      </c>
      <c r="K43" s="2">
        <v>42770.74</v>
      </c>
      <c r="L43" s="2">
        <v>42304.59</v>
      </c>
      <c r="M43" s="2">
        <v>45634.07</v>
      </c>
      <c r="N43" s="2">
        <v>43888.982000000004</v>
      </c>
      <c r="O43" s="2">
        <v>43888.982000000004</v>
      </c>
      <c r="P43" s="9"/>
      <c r="Q43" s="2">
        <f>SUM(OSRRefD21_1_1x)+IFERROR(SUM(OSRRefE21_1_1x),0)</f>
        <v>527993.89399999997</v>
      </c>
    </row>
    <row r="44" spans="1:17" s="34" customFormat="1" hidden="1" outlineLevel="1" x14ac:dyDescent="0.25">
      <c r="A44" s="35"/>
      <c r="B44" s="10" t="str">
        <f>CONCATENATE("          ","6003", " - ","STAFF HOURLY-9 MONTH")</f>
        <v xml:space="preserve">          6003 - STAFF HOURLY-9 MONTH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4" customFormat="1" hidden="1" outlineLevel="1" x14ac:dyDescent="0.25">
      <c r="A45" s="35"/>
      <c r="B45" s="10" t="str">
        <f>CONCATENATE("          ","6004", " - ","STAFF HOURLY")</f>
        <v xml:space="preserve">          6004 - STAFF HOURLY</v>
      </c>
      <c r="C45" s="11"/>
      <c r="D45" s="2">
        <v>35932.21</v>
      </c>
      <c r="E45" s="2">
        <v>46538.99</v>
      </c>
      <c r="F45" s="2">
        <v>51879.91</v>
      </c>
      <c r="G45" s="2">
        <v>72343.88</v>
      </c>
      <c r="H45" s="2">
        <v>50265.4</v>
      </c>
      <c r="I45" s="2">
        <v>38881</v>
      </c>
      <c r="J45" s="2">
        <v>38541.379999999997</v>
      </c>
      <c r="K45" s="2">
        <v>39445.699999999997</v>
      </c>
      <c r="L45" s="2">
        <v>47102.82</v>
      </c>
      <c r="M45" s="2">
        <v>70096.23</v>
      </c>
      <c r="N45" s="2">
        <v>63672.80992</v>
      </c>
      <c r="O45" s="2">
        <v>63981.689919999997</v>
      </c>
      <c r="P45" s="9"/>
      <c r="Q45" s="2">
        <f>SUM(OSRRefD21_1_3x)+IFERROR(SUM(OSRRefE21_1_3x),0)</f>
        <v>618682.01983999996</v>
      </c>
    </row>
    <row r="46" spans="1:17" s="34" customFormat="1" hidden="1" outlineLevel="1" x14ac:dyDescent="0.25">
      <c r="A46" s="35"/>
      <c r="B46" s="10" t="str">
        <f>CONCATENATE("          ","6005", " - ","TEMPORARY WAGES-HOURLY")</f>
        <v xml:space="preserve">          6005 - TEMPORARY WAGES-HOURLY</v>
      </c>
      <c r="C46" s="11"/>
      <c r="D46" s="2"/>
      <c r="E46" s="2">
        <v>1108.2</v>
      </c>
      <c r="F46" s="2">
        <v>14833.31</v>
      </c>
      <c r="G46" s="2">
        <v>23908.93</v>
      </c>
      <c r="H46" s="2">
        <v>13195.5</v>
      </c>
      <c r="I46" s="2">
        <v>11854.5</v>
      </c>
      <c r="J46" s="2">
        <v>8579.9500000000007</v>
      </c>
      <c r="K46" s="2">
        <v>9662.36</v>
      </c>
      <c r="L46" s="2">
        <v>9125.48</v>
      </c>
      <c r="M46" s="2">
        <v>10996.89</v>
      </c>
      <c r="N46" s="2">
        <v>18187.5</v>
      </c>
      <c r="O46" s="2">
        <v>152.77500000000001</v>
      </c>
      <c r="P46" s="9"/>
      <c r="Q46" s="2">
        <f>SUM(OSRRefD21_1_4x)+IFERROR(SUM(OSRRefE21_1_4x),0)</f>
        <v>121605.39499999999</v>
      </c>
    </row>
    <row r="47" spans="1:17" s="34" customFormat="1" hidden="1" outlineLevel="1" x14ac:dyDescent="0.25">
      <c r="A47" s="35"/>
      <c r="B47" s="10" t="str">
        <f>CONCATENATE("          ","6006", " - ","TEMPORARY PART TIME")</f>
        <v xml:space="preserve">          6006 - TEMPORARY PART TIME</v>
      </c>
      <c r="C47" s="11"/>
      <c r="D47" s="2"/>
      <c r="E47" s="2"/>
      <c r="F47" s="2"/>
      <c r="G47" s="2"/>
      <c r="H47" s="2"/>
      <c r="I47" s="2"/>
      <c r="J47" s="2"/>
      <c r="K47" s="2">
        <v>609</v>
      </c>
      <c r="L47" s="2">
        <v>717.96</v>
      </c>
      <c r="M47" s="2">
        <v>847.56</v>
      </c>
      <c r="N47" s="2">
        <v>0</v>
      </c>
      <c r="O47" s="2">
        <v>0</v>
      </c>
      <c r="P47" s="9"/>
      <c r="Q47" s="2">
        <f>SUM(OSRRefD21_1_5x)+IFERROR(SUM(OSRRefE21_1_5x),0)</f>
        <v>2174.52</v>
      </c>
    </row>
    <row r="48" spans="1:17" s="34" customFormat="1" hidden="1" outlineLevel="1" x14ac:dyDescent="0.25">
      <c r="A48" s="35"/>
      <c r="B48" s="10" t="str">
        <f>CONCATENATE("          ","6007", " - ","STUDENT HOURLY")</f>
        <v xml:space="preserve">          6007 - STUDENT HOURLY</v>
      </c>
      <c r="C48" s="11"/>
      <c r="D48" s="2">
        <v>9751</v>
      </c>
      <c r="E48" s="2">
        <v>11457.67</v>
      </c>
      <c r="F48" s="2">
        <v>16902.439999999999</v>
      </c>
      <c r="G48" s="2">
        <v>5215.1099999999997</v>
      </c>
      <c r="H48" s="2">
        <v>15212.46</v>
      </c>
      <c r="I48" s="2">
        <v>10668.46</v>
      </c>
      <c r="J48" s="2">
        <v>18258.580000000002</v>
      </c>
      <c r="K48" s="2">
        <v>10515.19</v>
      </c>
      <c r="L48" s="2">
        <v>15081.89</v>
      </c>
      <c r="M48" s="2">
        <v>-1448.52</v>
      </c>
      <c r="N48" s="2">
        <v>0</v>
      </c>
      <c r="O48" s="2">
        <v>0</v>
      </c>
      <c r="P48" s="9"/>
      <c r="Q48" s="2">
        <f>SUM(OSRRefD21_1_6x)+IFERROR(SUM(OSRRefE21_1_6x),0)</f>
        <v>111614.28</v>
      </c>
    </row>
    <row r="49" spans="1:17" s="34" customFormat="1" hidden="1" outlineLevel="1" x14ac:dyDescent="0.25">
      <c r="A49" s="35"/>
      <c r="B49" s="10" t="str">
        <f>CONCATENATE("          ","6008", " - ","STUDENT HOURLY-FICA EXEMPT")</f>
        <v xml:space="preserve">          6008 - STUDENT HOURLY-FICA EXEMPT</v>
      </c>
      <c r="C49" s="11"/>
      <c r="D49" s="2"/>
      <c r="E49" s="2">
        <v>616.33000000000004</v>
      </c>
      <c r="F49" s="2">
        <v>3086.33</v>
      </c>
      <c r="G49" s="2">
        <v>3992.3</v>
      </c>
      <c r="H49" s="2">
        <v>1839.89</v>
      </c>
      <c r="I49" s="2">
        <v>1096.03</v>
      </c>
      <c r="J49" s="2"/>
      <c r="K49" s="2"/>
      <c r="L49" s="2"/>
      <c r="M49" s="2"/>
      <c r="N49" s="2">
        <v>0</v>
      </c>
      <c r="O49" s="2">
        <v>0</v>
      </c>
      <c r="P49" s="9"/>
      <c r="Q49" s="2">
        <f>SUM(OSRRefD21_1_7x)+IFERROR(SUM(OSRRefE21_1_7x),0)</f>
        <v>10630.880000000001</v>
      </c>
    </row>
    <row r="50" spans="1:17" s="34" customFormat="1" hidden="1" outlineLevel="1" x14ac:dyDescent="0.25">
      <c r="A50" s="35"/>
      <c r="B50" s="10" t="str">
        <f>CONCATENATE("          ","6009", " - ","TEMPORARY-SEASONAL")</f>
        <v xml:space="preserve">          6009 - TEMPORARY-SEASONAL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4" customFormat="1" hidden="1" outlineLevel="1" x14ac:dyDescent="0.25">
      <c r="A51" s="35"/>
      <c r="B51" s="10" t="str">
        <f>CONCATENATE("          ","6010", " - ","GRATUITY")</f>
        <v xml:space="preserve">          6010 - GRATUITY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4" customFormat="1" collapsed="1" x14ac:dyDescent="0.25">
      <c r="A52" s="35"/>
      <c r="B52" s="11" t="str">
        <f>CONCATENATE("     ","Advertising/Promo                                 ")</f>
        <v xml:space="preserve">     Advertising/Promo                                 </v>
      </c>
      <c r="C52" s="11"/>
      <c r="D52" s="1">
        <f>SUM(OSRRefD21_2x_0)</f>
        <v>770.46</v>
      </c>
      <c r="E52" s="1">
        <f>SUM(OSRRefD21_2x_1)</f>
        <v>704.51</v>
      </c>
      <c r="F52" s="1">
        <f>SUM(OSRRefD21_2x_2)</f>
        <v>49.61</v>
      </c>
      <c r="G52" s="1">
        <f>SUM(OSRRefD21_2x_3)</f>
        <v>15.05</v>
      </c>
      <c r="H52" s="1">
        <f>SUM(OSRRefD21_2x_4)</f>
        <v>15.9</v>
      </c>
      <c r="I52" s="1">
        <f>SUM(OSRRefD21_2x_5)</f>
        <v>7.42</v>
      </c>
      <c r="J52" s="1">
        <f>SUM(OSRRefD21_2x_6)</f>
        <v>21.57</v>
      </c>
      <c r="K52" s="1">
        <f>SUM(OSRRefD21_2x_7)</f>
        <v>78.48</v>
      </c>
      <c r="L52" s="1">
        <f>SUM(OSRRefD21_2x_8)</f>
        <v>155.19</v>
      </c>
      <c r="M52" s="1">
        <f>SUM(OSRRefD21_2x_9)</f>
        <v>190.89</v>
      </c>
      <c r="N52" s="1">
        <f>SUM(OSRRefE21_2x_0)</f>
        <v>369</v>
      </c>
      <c r="O52" s="1">
        <f>SUM(OSRRefE21_2x_1)</f>
        <v>369</v>
      </c>
      <c r="Q52" s="2">
        <f>SUM(OSRRefD20_2x)+IFERROR(SUM(OSRRefE20_2x),0)</f>
        <v>2747.08</v>
      </c>
    </row>
    <row r="53" spans="1:17" s="34" customFormat="1" hidden="1" outlineLevel="1" x14ac:dyDescent="0.25">
      <c r="A53" s="35"/>
      <c r="B53" s="10" t="str">
        <f>CONCATENATE("          ","6362", " - ","ADVERTISING EXPENSE")</f>
        <v xml:space="preserve">          6362 - ADVERTISING EXPENSE</v>
      </c>
      <c r="C53" s="11"/>
      <c r="D53" s="2">
        <v>770.46</v>
      </c>
      <c r="E53" s="2">
        <v>704.51</v>
      </c>
      <c r="F53" s="2">
        <v>49.61</v>
      </c>
      <c r="G53" s="2">
        <v>15.05</v>
      </c>
      <c r="H53" s="2">
        <v>15.9</v>
      </c>
      <c r="I53" s="2">
        <v>7.42</v>
      </c>
      <c r="J53" s="2">
        <v>21.57</v>
      </c>
      <c r="K53" s="2">
        <v>78.48</v>
      </c>
      <c r="L53" s="2">
        <v>155.19</v>
      </c>
      <c r="M53" s="2">
        <v>190.89</v>
      </c>
      <c r="N53" s="2">
        <v>369</v>
      </c>
      <c r="O53" s="2">
        <v>369</v>
      </c>
      <c r="P53" s="9"/>
      <c r="Q53" s="2">
        <f>SUM(OSRRefD21_2_0x)+IFERROR(SUM(OSRRefE21_2_0x),0)</f>
        <v>2747.08</v>
      </c>
    </row>
    <row r="54" spans="1:17" s="34" customFormat="1" collapsed="1" x14ac:dyDescent="0.25">
      <c r="A54" s="35"/>
      <c r="B54" s="11" t="str">
        <f>CONCATENATE("     ","Bad Debts/Over/Short                              ")</f>
        <v xml:space="preserve">     Bad Debts/Over/Short                              </v>
      </c>
      <c r="C54" s="11"/>
      <c r="D54" s="1">
        <f>SUM(OSRRefD21_3x_0)</f>
        <v>0</v>
      </c>
      <c r="E54" s="1">
        <f>SUM(OSRRefD21_3x_1)</f>
        <v>31.86</v>
      </c>
      <c r="F54" s="1">
        <f>SUM(OSRRefD21_3x_2)</f>
        <v>-163.63999999999999</v>
      </c>
      <c r="G54" s="1">
        <f>SUM(OSRRefD21_3x_3)</f>
        <v>1539.8</v>
      </c>
      <c r="H54" s="1">
        <f>SUM(OSRRefD21_3x_4)</f>
        <v>-1331.23</v>
      </c>
      <c r="I54" s="1">
        <f>SUM(OSRRefD21_3x_5)</f>
        <v>1.74</v>
      </c>
      <c r="J54" s="1">
        <f>SUM(OSRRefD21_3x_6)</f>
        <v>0</v>
      </c>
      <c r="K54" s="1">
        <f>SUM(OSRRefD21_3x_7)</f>
        <v>-16.2</v>
      </c>
      <c r="L54" s="1">
        <f>SUM(OSRRefD21_3x_8)</f>
        <v>-0.39</v>
      </c>
      <c r="M54" s="1">
        <f>SUM(OSRRefD21_3x_9)</f>
        <v>0.57999999999999996</v>
      </c>
      <c r="N54" s="1">
        <f>SUM(OSRRefE21_3x_0)</f>
        <v>16</v>
      </c>
      <c r="O54" s="1">
        <f>SUM(OSRRefE21_3x_1)</f>
        <v>0</v>
      </c>
      <c r="Q54" s="2">
        <f>SUM(OSRRefD20_3x)+IFERROR(SUM(OSRRefE20_3x),0)</f>
        <v>78.519999999999953</v>
      </c>
    </row>
    <row r="55" spans="1:17" s="34" customFormat="1" hidden="1" outlineLevel="1" x14ac:dyDescent="0.25">
      <c r="A55" s="35"/>
      <c r="B55" s="10" t="str">
        <f>CONCATENATE("          ","6272", " - ","CASH (OVER/SHORT)")</f>
        <v xml:space="preserve">          6272 - CASH (OVER/SHORT)</v>
      </c>
      <c r="C55" s="11"/>
      <c r="D55" s="2">
        <v>0</v>
      </c>
      <c r="E55" s="2">
        <v>31.86</v>
      </c>
      <c r="F55" s="2">
        <v>-163.63999999999999</v>
      </c>
      <c r="G55" s="2">
        <v>1539.8</v>
      </c>
      <c r="H55" s="2">
        <v>-1331.23</v>
      </c>
      <c r="I55" s="2">
        <v>1.74</v>
      </c>
      <c r="J55" s="2"/>
      <c r="K55" s="2">
        <v>-16.2</v>
      </c>
      <c r="L55" s="2">
        <v>-0.39</v>
      </c>
      <c r="M55" s="2">
        <v>0.57999999999999996</v>
      </c>
      <c r="N55" s="2">
        <v>16</v>
      </c>
      <c r="O55" s="2">
        <v>0</v>
      </c>
      <c r="P55" s="9"/>
      <c r="Q55" s="2">
        <f>SUM(OSRRefD21_3_0x)+IFERROR(SUM(OSRRefE21_3_0x),0)</f>
        <v>78.519999999999953</v>
      </c>
    </row>
    <row r="56" spans="1:17" s="34" customFormat="1" collapsed="1" x14ac:dyDescent="0.25">
      <c r="A56" s="35"/>
      <c r="B56" s="11" t="str">
        <f>CONCATENATE("     ","Bank/card Fees                                    ")</f>
        <v xml:space="preserve">     Bank/card Fees                                    </v>
      </c>
      <c r="C56" s="11"/>
      <c r="D56" s="1">
        <f>SUM(OSRRefD21_4x_0)</f>
        <v>282.82</v>
      </c>
      <c r="E56" s="1">
        <f>SUM(OSRRefD21_4x_1)</f>
        <v>333.07</v>
      </c>
      <c r="F56" s="1">
        <f>SUM(OSRRefD21_4x_2)</f>
        <v>493.43</v>
      </c>
      <c r="G56" s="1">
        <f>SUM(OSRRefD21_4x_3)</f>
        <v>758.49</v>
      </c>
      <c r="H56" s="1">
        <f>SUM(OSRRefD21_4x_4)</f>
        <v>757.56</v>
      </c>
      <c r="I56" s="1">
        <f>SUM(OSRRefD21_4x_5)</f>
        <v>664.59</v>
      </c>
      <c r="J56" s="1">
        <f>SUM(OSRRefD21_4x_6)</f>
        <v>747.89</v>
      </c>
      <c r="K56" s="1">
        <f>SUM(OSRRefD21_4x_7)</f>
        <v>859.46</v>
      </c>
      <c r="L56" s="1">
        <f>SUM(OSRRefD21_4x_8)</f>
        <v>727.54</v>
      </c>
      <c r="M56" s="1">
        <f>SUM(OSRRefD21_4x_9)</f>
        <v>1044.54</v>
      </c>
      <c r="N56" s="1">
        <f>SUM(OSRRefE21_4x_0)</f>
        <v>534</v>
      </c>
      <c r="O56" s="1">
        <f>SUM(OSRRefE21_4x_1)</f>
        <v>413</v>
      </c>
      <c r="Q56" s="2">
        <f>SUM(OSRRefD20_4x)+IFERROR(SUM(OSRRefE20_4x),0)</f>
        <v>7616.3899999999994</v>
      </c>
    </row>
    <row r="57" spans="1:17" s="34" customFormat="1" hidden="1" outlineLevel="1" x14ac:dyDescent="0.25">
      <c r="A57" s="35"/>
      <c r="B57" s="10" t="str">
        <f>CONCATENATE("          ","6381", " - ","BANK/CREDIT CARD FEES")</f>
        <v xml:space="preserve">          6381 - BANK/CREDIT CARD FEES</v>
      </c>
      <c r="C57" s="11"/>
      <c r="D57" s="2">
        <v>282.82</v>
      </c>
      <c r="E57" s="2">
        <v>333.07</v>
      </c>
      <c r="F57" s="2">
        <v>493.43</v>
      </c>
      <c r="G57" s="2">
        <v>758.49</v>
      </c>
      <c r="H57" s="2">
        <v>757.56</v>
      </c>
      <c r="I57" s="2">
        <v>664.59</v>
      </c>
      <c r="J57" s="2">
        <v>747.89</v>
      </c>
      <c r="K57" s="2">
        <v>859.46</v>
      </c>
      <c r="L57" s="2">
        <v>727.54</v>
      </c>
      <c r="M57" s="2">
        <v>1044.54</v>
      </c>
      <c r="N57" s="2">
        <v>534</v>
      </c>
      <c r="O57" s="2">
        <v>413</v>
      </c>
      <c r="P57" s="9"/>
      <c r="Q57" s="2">
        <f>SUM(OSRRefD21_4_0x)+IFERROR(SUM(OSRRefE21_4_0x),0)</f>
        <v>7616.3899999999994</v>
      </c>
    </row>
    <row r="58" spans="1:17" s="34" customFormat="1" collapsed="1" x14ac:dyDescent="0.25">
      <c r="A58" s="35"/>
      <c r="B58" s="11" t="str">
        <f>CONCATENATE("     ","Depreciation                                      ")</f>
        <v xml:space="preserve">     Depreciation                                      </v>
      </c>
      <c r="C58" s="11"/>
      <c r="D58" s="1">
        <f>SUM(OSRRefD21_5x_0)</f>
        <v>37769.03</v>
      </c>
      <c r="E58" s="1">
        <f>SUM(OSRRefD21_5x_1)</f>
        <v>38466.019999999997</v>
      </c>
      <c r="F58" s="1">
        <f>SUM(OSRRefD21_5x_2)</f>
        <v>38440.44</v>
      </c>
      <c r="G58" s="1">
        <f>SUM(OSRRefD21_5x_3)</f>
        <v>37536.630000000005</v>
      </c>
      <c r="H58" s="1">
        <f>SUM(OSRRefD21_5x_4)</f>
        <v>37479.26</v>
      </c>
      <c r="I58" s="1">
        <f>SUM(OSRRefD21_5x_5)</f>
        <v>37479.26</v>
      </c>
      <c r="J58" s="1">
        <f>SUM(OSRRefD21_5x_6)</f>
        <v>37479.26</v>
      </c>
      <c r="K58" s="1">
        <f>SUM(OSRRefD21_5x_7)</f>
        <v>37479.26</v>
      </c>
      <c r="L58" s="1">
        <f>SUM(OSRRefD21_5x_8)</f>
        <v>37479.26</v>
      </c>
      <c r="M58" s="1">
        <f>SUM(OSRRefD21_5x_9)</f>
        <v>37479.26</v>
      </c>
      <c r="N58" s="1">
        <f>SUM(OSRRefE21_5x_0)</f>
        <v>37930</v>
      </c>
      <c r="O58" s="1">
        <f>SUM(OSRRefE21_5x_1)</f>
        <v>35790</v>
      </c>
      <c r="Q58" s="2">
        <f>SUM(OSRRefD20_5x)+IFERROR(SUM(OSRRefE20_5x),0)</f>
        <v>450807.68000000005</v>
      </c>
    </row>
    <row r="59" spans="1:17" s="34" customFormat="1" hidden="1" outlineLevel="1" x14ac:dyDescent="0.25">
      <c r="A59" s="35"/>
      <c r="B59" s="10" t="str">
        <f>CONCATENATE("          ","6321", " - ","BUILDING DEPRECIATION")</f>
        <v xml:space="preserve">          6321 - BUILDING DEPRECIATION</v>
      </c>
      <c r="C59" s="11"/>
      <c r="D59" s="2">
        <v>23844.89</v>
      </c>
      <c r="E59" s="2">
        <v>23844.89</v>
      </c>
      <c r="F59" s="2">
        <v>23844.880000000001</v>
      </c>
      <c r="G59" s="2">
        <v>23583.49</v>
      </c>
      <c r="H59" s="2">
        <v>23583.49</v>
      </c>
      <c r="I59" s="2">
        <v>23583.49</v>
      </c>
      <c r="J59" s="2">
        <v>23583.49</v>
      </c>
      <c r="K59" s="2">
        <v>23583.49</v>
      </c>
      <c r="L59" s="2">
        <v>23583.49</v>
      </c>
      <c r="M59" s="2">
        <v>23583.49</v>
      </c>
      <c r="N59" s="2"/>
      <c r="O59" s="2"/>
      <c r="P59" s="9"/>
      <c r="Q59" s="2">
        <f>SUM(OSRRefD21_5_0x)+IFERROR(SUM(OSRRefE21_5_0x),0)</f>
        <v>236619.08999999997</v>
      </c>
    </row>
    <row r="60" spans="1:17" s="34" customFormat="1" hidden="1" outlineLevel="1" x14ac:dyDescent="0.25">
      <c r="A60" s="35"/>
      <c r="B60" s="10" t="str">
        <f>CONCATENATE("          ","6322", " - ","EQUIPMENT DEPRECIATION EXPENSE")</f>
        <v xml:space="preserve">          6322 - EQUIPMENT DEPRECIATION EXPENSE</v>
      </c>
      <c r="C60" s="11"/>
      <c r="D60" s="2">
        <v>13924.14</v>
      </c>
      <c r="E60" s="2">
        <v>14621.13</v>
      </c>
      <c r="F60" s="2">
        <v>14595.56</v>
      </c>
      <c r="G60" s="2">
        <v>13953.14</v>
      </c>
      <c r="H60" s="2">
        <v>13895.77</v>
      </c>
      <c r="I60" s="2">
        <v>13895.77</v>
      </c>
      <c r="J60" s="2">
        <v>13895.77</v>
      </c>
      <c r="K60" s="2">
        <v>13895.77</v>
      </c>
      <c r="L60" s="2">
        <v>13895.77</v>
      </c>
      <c r="M60" s="2">
        <v>13895.77</v>
      </c>
      <c r="N60" s="2">
        <v>37380</v>
      </c>
      <c r="O60" s="2">
        <v>35240</v>
      </c>
      <c r="P60" s="9"/>
      <c r="Q60" s="2">
        <f>SUM(OSRRefD21_5_1x)+IFERROR(SUM(OSRRefE21_5_1x),0)</f>
        <v>213088.59</v>
      </c>
    </row>
    <row r="61" spans="1:17" s="34" customFormat="1" hidden="1" outlineLevel="1" x14ac:dyDescent="0.25">
      <c r="A61" s="35"/>
      <c r="B61" s="10" t="str">
        <f>CONCATENATE("          ","6326", " - ","VEHICLES DEPRECIATION EXPENSE")</f>
        <v xml:space="preserve">          6326 - VEHICLES DEPRECIATION EXPENSE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>
        <v>550</v>
      </c>
      <c r="O61" s="2">
        <v>550</v>
      </c>
      <c r="P61" s="9"/>
      <c r="Q61" s="2">
        <f>SUM(OSRRefD21_5_2x)+IFERROR(SUM(OSRRefE21_5_2x),0)</f>
        <v>1100</v>
      </c>
    </row>
    <row r="62" spans="1:17" s="34" customFormat="1" collapsed="1" x14ac:dyDescent="0.25">
      <c r="A62" s="35"/>
      <c r="B62" s="11" t="str">
        <f>CONCATENATE("     ","Donations                                         ")</f>
        <v xml:space="preserve">     Donations                                         </v>
      </c>
      <c r="C62" s="11"/>
      <c r="D62" s="1">
        <f>SUM(OSRRefD21_6x_0)</f>
        <v>0</v>
      </c>
      <c r="E62" s="1">
        <f>SUM(OSRRefD21_6x_1)</f>
        <v>2222.02</v>
      </c>
      <c r="F62" s="1">
        <f>SUM(OSRRefD21_6x_2)</f>
        <v>8888.07</v>
      </c>
      <c r="G62" s="1">
        <f>SUM(OSRRefD21_6x_3)</f>
        <v>11110.09</v>
      </c>
      <c r="H62" s="1">
        <f>SUM(OSRRefD21_6x_4)</f>
        <v>7935.78</v>
      </c>
      <c r="I62" s="1">
        <f>SUM(OSRRefD21_6x_5)</f>
        <v>6666.05</v>
      </c>
      <c r="J62" s="1">
        <f>SUM(OSRRefD21_6x_6)</f>
        <v>1459.14</v>
      </c>
      <c r="K62" s="1">
        <f>SUM(OSRRefD21_6x_7)</f>
        <v>5361.28</v>
      </c>
      <c r="L62" s="1">
        <f>SUM(OSRRefD21_6x_8)</f>
        <v>7337.33</v>
      </c>
      <c r="M62" s="1">
        <f>SUM(OSRRefD21_6x_9)</f>
        <v>7325.88</v>
      </c>
      <c r="N62" s="1">
        <f>SUM(OSRRefE21_6x_0)</f>
        <v>8100</v>
      </c>
      <c r="O62" s="1">
        <f>SUM(OSRRefE21_6x_1)</f>
        <v>0</v>
      </c>
      <c r="Q62" s="2">
        <f>SUM(OSRRefD20_6x)+IFERROR(SUM(OSRRefE20_6x),0)</f>
        <v>66405.64</v>
      </c>
    </row>
    <row r="63" spans="1:17" s="34" customFormat="1" hidden="1" outlineLevel="1" x14ac:dyDescent="0.25">
      <c r="A63" s="35"/>
      <c r="B63" s="10" t="str">
        <f>CONCATENATE("          ","6399", " - ","DONATION-ON CAMPUS")</f>
        <v xml:space="preserve">          6399 - DONATION-ON CAMPUS</v>
      </c>
      <c r="C63" s="11"/>
      <c r="D63" s="2"/>
      <c r="E63" s="2">
        <v>2222.02</v>
      </c>
      <c r="F63" s="2">
        <v>8888.07</v>
      </c>
      <c r="G63" s="2">
        <v>11110.09</v>
      </c>
      <c r="H63" s="2">
        <v>7935.78</v>
      </c>
      <c r="I63" s="2">
        <v>6666.05</v>
      </c>
      <c r="J63" s="2">
        <v>1459.14</v>
      </c>
      <c r="K63" s="2">
        <v>5361.28</v>
      </c>
      <c r="L63" s="2">
        <v>7337.33</v>
      </c>
      <c r="M63" s="2">
        <v>7325.88</v>
      </c>
      <c r="N63" s="2">
        <v>8100</v>
      </c>
      <c r="O63" s="2"/>
      <c r="P63" s="9"/>
      <c r="Q63" s="2">
        <f>SUM(OSRRefD21_6_0x)+IFERROR(SUM(OSRRefE21_6_0x),0)</f>
        <v>66405.64</v>
      </c>
    </row>
    <row r="64" spans="1:17" s="34" customFormat="1" collapsed="1" x14ac:dyDescent="0.25">
      <c r="A64" s="35"/>
      <c r="B64" s="11" t="str">
        <f>CONCATENATE("     ","Employees' Appreciation                           ")</f>
        <v xml:space="preserve">     Employees' Appreciation                           </v>
      </c>
      <c r="C64" s="11"/>
      <c r="D64" s="1">
        <f>SUM(OSRRefD21_7x_0)</f>
        <v>0</v>
      </c>
      <c r="E64" s="1">
        <f>SUM(OSRRefD21_7x_1)</f>
        <v>0</v>
      </c>
      <c r="F64" s="1">
        <f>SUM(OSRRefD21_7x_2)</f>
        <v>0</v>
      </c>
      <c r="G64" s="1">
        <f>SUM(OSRRefD21_7x_3)</f>
        <v>0</v>
      </c>
      <c r="H64" s="1">
        <f>SUM(OSRRefD21_7x_4)</f>
        <v>0</v>
      </c>
      <c r="I64" s="1">
        <f>SUM(OSRRefD21_7x_5)</f>
        <v>10</v>
      </c>
      <c r="J64" s="1">
        <f>SUM(OSRRefD21_7x_6)</f>
        <v>0</v>
      </c>
      <c r="K64" s="1">
        <f>SUM(OSRRefD21_7x_7)</f>
        <v>0</v>
      </c>
      <c r="L64" s="1">
        <f>SUM(OSRRefD21_7x_8)</f>
        <v>0</v>
      </c>
      <c r="M64" s="1">
        <f>SUM(OSRRefD21_7x_9)</f>
        <v>0</v>
      </c>
      <c r="N64" s="1">
        <f>SUM(OSRRefE21_7x_0)</f>
        <v>150</v>
      </c>
      <c r="O64" s="1">
        <f>SUM(OSRRefE21_7x_1)</f>
        <v>0</v>
      </c>
      <c r="Q64" s="2">
        <f>SUM(OSRRefD20_7x)+IFERROR(SUM(OSRRefE20_7x),0)</f>
        <v>160</v>
      </c>
    </row>
    <row r="65" spans="1:17" s="34" customFormat="1" hidden="1" outlineLevel="1" x14ac:dyDescent="0.25">
      <c r="A65" s="35"/>
      <c r="B65" s="10" t="str">
        <f>CONCATENATE("          ","6277", " - ","EMPLOYEE APPRECIATION")</f>
        <v xml:space="preserve">          6277 - EMPLOYEE APPRECIATION</v>
      </c>
      <c r="C65" s="11"/>
      <c r="D65" s="2"/>
      <c r="E65" s="2"/>
      <c r="F65" s="2"/>
      <c r="G65" s="2"/>
      <c r="H65" s="2"/>
      <c r="I65" s="2">
        <v>10</v>
      </c>
      <c r="J65" s="2"/>
      <c r="K65" s="2"/>
      <c r="L65" s="2"/>
      <c r="M65" s="2"/>
      <c r="N65" s="2">
        <v>150</v>
      </c>
      <c r="O65" s="2">
        <v>0</v>
      </c>
      <c r="P65" s="9"/>
      <c r="Q65" s="2">
        <f>SUM(OSRRefD21_7_0x)+IFERROR(SUM(OSRRefE21_7_0x),0)</f>
        <v>160</v>
      </c>
    </row>
    <row r="66" spans="1:17" s="34" customFormat="1" collapsed="1" x14ac:dyDescent="0.25">
      <c r="A66" s="35"/>
      <c r="B66" s="11" t="str">
        <f>CONCATENATE("     ","Equipment Rental                                  ")</f>
        <v xml:space="preserve">     Equipment Rental                                  </v>
      </c>
      <c r="C66" s="11"/>
      <c r="D66" s="1">
        <f>SUM(OSRRefD21_8x_0)</f>
        <v>1250.5</v>
      </c>
      <c r="E66" s="1">
        <f>SUM(OSRRefD21_8x_1)</f>
        <v>839.01</v>
      </c>
      <c r="F66" s="1">
        <f>SUM(OSRRefD21_8x_2)</f>
        <v>885.78</v>
      </c>
      <c r="G66" s="1">
        <f>SUM(OSRRefD21_8x_3)</f>
        <v>2597.85</v>
      </c>
      <c r="H66" s="1">
        <f>SUM(OSRRefD21_8x_4)</f>
        <v>1043.17</v>
      </c>
      <c r="I66" s="1">
        <f>SUM(OSRRefD21_8x_5)</f>
        <v>684.84</v>
      </c>
      <c r="J66" s="1">
        <f>SUM(OSRRefD21_8x_6)</f>
        <v>444.75</v>
      </c>
      <c r="K66" s="1">
        <f>SUM(OSRRefD21_8x_7)</f>
        <v>812.09</v>
      </c>
      <c r="L66" s="1">
        <f>SUM(OSRRefD21_8x_8)</f>
        <v>880.16</v>
      </c>
      <c r="M66" s="1">
        <f>SUM(OSRRefD21_8x_9)</f>
        <v>1490.85</v>
      </c>
      <c r="N66" s="1">
        <f>SUM(OSRRefE21_8x_0)</f>
        <v>836</v>
      </c>
      <c r="O66" s="1">
        <f>SUM(OSRRefE21_8x_1)</f>
        <v>785</v>
      </c>
      <c r="Q66" s="2">
        <f>SUM(OSRRefD20_8x)+IFERROR(SUM(OSRRefE20_8x),0)</f>
        <v>12550</v>
      </c>
    </row>
    <row r="67" spans="1:17" s="34" customFormat="1" hidden="1" outlineLevel="1" x14ac:dyDescent="0.25">
      <c r="A67" s="35"/>
      <c r="B67" s="10" t="str">
        <f>CONCATENATE("          ","6351", " - ","EQUIPMENT RENTAL")</f>
        <v xml:space="preserve">          6351 - EQUIPMENT RENTAL</v>
      </c>
      <c r="C67" s="11"/>
      <c r="D67" s="2">
        <v>1250.5</v>
      </c>
      <c r="E67" s="2">
        <v>839.01</v>
      </c>
      <c r="F67" s="2">
        <v>885.78</v>
      </c>
      <c r="G67" s="2">
        <v>2597.85</v>
      </c>
      <c r="H67" s="2">
        <v>1043.17</v>
      </c>
      <c r="I67" s="2">
        <v>684.84</v>
      </c>
      <c r="J67" s="2">
        <v>444.75</v>
      </c>
      <c r="K67" s="2">
        <v>812.09</v>
      </c>
      <c r="L67" s="2">
        <v>880.16</v>
      </c>
      <c r="M67" s="2">
        <v>1490.85</v>
      </c>
      <c r="N67" s="2">
        <v>836</v>
      </c>
      <c r="O67" s="2">
        <v>785</v>
      </c>
      <c r="P67" s="9"/>
      <c r="Q67" s="2">
        <f>SUM(OSRRefD21_8_0x)+IFERROR(SUM(OSRRefE21_8_0x),0)</f>
        <v>12550</v>
      </c>
    </row>
    <row r="68" spans="1:17" s="34" customFormat="1" collapsed="1" x14ac:dyDescent="0.25">
      <c r="A68" s="35"/>
      <c r="B68" s="11" t="str">
        <f>CONCATENATE("     ","Freight out/Postage                               ")</f>
        <v xml:space="preserve">     Freight out/Postage                               </v>
      </c>
      <c r="C68" s="11"/>
      <c r="D68" s="1">
        <f>SUM(OSRRefD21_9x_0)</f>
        <v>0</v>
      </c>
      <c r="E68" s="1">
        <f>SUM(OSRRefD21_9x_1)</f>
        <v>0</v>
      </c>
      <c r="F68" s="1">
        <f>SUM(OSRRefD21_9x_2)</f>
        <v>-5.41</v>
      </c>
      <c r="G68" s="1">
        <f>SUM(OSRRefD21_9x_3)</f>
        <v>0</v>
      </c>
      <c r="H68" s="1">
        <f>SUM(OSRRefD21_9x_4)</f>
        <v>0</v>
      </c>
      <c r="I68" s="1">
        <f>SUM(OSRRefD21_9x_5)</f>
        <v>0</v>
      </c>
      <c r="J68" s="1">
        <f>SUM(OSRRefD21_9x_6)</f>
        <v>0</v>
      </c>
      <c r="K68" s="1">
        <f>SUM(OSRRefD21_9x_7)</f>
        <v>0</v>
      </c>
      <c r="L68" s="1">
        <f>SUM(OSRRefD21_9x_8)</f>
        <v>0</v>
      </c>
      <c r="M68" s="1">
        <f>SUM(OSRRefD21_9x_9)</f>
        <v>2.96</v>
      </c>
      <c r="N68" s="1">
        <f>SUM(OSRRefE21_9x_0)</f>
        <v>0</v>
      </c>
      <c r="O68" s="1">
        <f>SUM(OSRRefE21_9x_1)</f>
        <v>0</v>
      </c>
      <c r="Q68" s="2">
        <f>SUM(OSRRefD20_9x)+IFERROR(SUM(OSRRefE20_9x),0)</f>
        <v>-2.4500000000000002</v>
      </c>
    </row>
    <row r="69" spans="1:17" s="34" customFormat="1" hidden="1" outlineLevel="1" x14ac:dyDescent="0.25">
      <c r="A69" s="35"/>
      <c r="B69" s="10" t="str">
        <f>CONCATENATE("          ","6307", " - ","POSTAGE")</f>
        <v xml:space="preserve">          6307 - POSTAGE</v>
      </c>
      <c r="C69" s="11"/>
      <c r="D69" s="2"/>
      <c r="E69" s="2"/>
      <c r="F69" s="2">
        <v>-5.41</v>
      </c>
      <c r="G69" s="2"/>
      <c r="H69" s="2"/>
      <c r="I69" s="2"/>
      <c r="J69" s="2"/>
      <c r="K69" s="2"/>
      <c r="L69" s="2"/>
      <c r="M69" s="2">
        <v>2.96</v>
      </c>
      <c r="N69" s="2"/>
      <c r="O69" s="2"/>
      <c r="P69" s="9"/>
      <c r="Q69" s="2">
        <f>SUM(OSRRefD21_9_0x)+IFERROR(SUM(OSRRefE21_9_0x),0)</f>
        <v>-2.4500000000000002</v>
      </c>
    </row>
    <row r="70" spans="1:17" s="34" customFormat="1" collapsed="1" x14ac:dyDescent="0.25">
      <c r="A70" s="35"/>
      <c r="B70" s="11" t="str">
        <f>CONCATENATE("     ","General                                           ")</f>
        <v xml:space="preserve">     General                                           </v>
      </c>
      <c r="C70" s="11"/>
      <c r="D70" s="1">
        <f>SUM(OSRRefD21_10x_0)</f>
        <v>10621.85</v>
      </c>
      <c r="E70" s="1">
        <f>SUM(OSRRefD21_10x_1)</f>
        <v>-1026.6199999999999</v>
      </c>
      <c r="F70" s="1">
        <f>SUM(OSRRefD21_10x_2)</f>
        <v>552.16999999999996</v>
      </c>
      <c r="G70" s="1">
        <f>SUM(OSRRefD21_10x_3)</f>
        <v>0</v>
      </c>
      <c r="H70" s="1">
        <f>SUM(OSRRefD21_10x_4)</f>
        <v>493</v>
      </c>
      <c r="I70" s="1">
        <f>SUM(OSRRefD21_10x_5)</f>
        <v>1198.48</v>
      </c>
      <c r="J70" s="1">
        <f>SUM(OSRRefD21_10x_6)</f>
        <v>397</v>
      </c>
      <c r="K70" s="1">
        <f>SUM(OSRRefD21_10x_7)</f>
        <v>1893.03</v>
      </c>
      <c r="L70" s="1">
        <f>SUM(OSRRefD21_10x_8)</f>
        <v>891.32</v>
      </c>
      <c r="M70" s="1">
        <f>SUM(OSRRefD21_10x_9)</f>
        <v>224</v>
      </c>
      <c r="N70" s="1">
        <f>SUM(OSRRefE21_10x_0)</f>
        <v>420</v>
      </c>
      <c r="O70" s="1">
        <f>SUM(OSRRefE21_10x_1)</f>
        <v>420</v>
      </c>
      <c r="Q70" s="2">
        <f>SUM(OSRRefD20_10x)+IFERROR(SUM(OSRRefE20_10x),0)</f>
        <v>16084.23</v>
      </c>
    </row>
    <row r="71" spans="1:17" s="34" customFormat="1" hidden="1" outlineLevel="1" x14ac:dyDescent="0.25">
      <c r="A71" s="35"/>
      <c r="B71" s="10" t="str">
        <f>CONCATENATE("          ","6279", " - ","GENERAL EXPENSE")</f>
        <v xml:space="preserve">          6279 - GENERAL EXPENSE</v>
      </c>
      <c r="C71" s="11"/>
      <c r="D71" s="2">
        <v>10621.85</v>
      </c>
      <c r="E71" s="2">
        <v>-1026.6199999999999</v>
      </c>
      <c r="F71" s="2">
        <v>552.16999999999996</v>
      </c>
      <c r="G71" s="2"/>
      <c r="H71" s="2">
        <v>493</v>
      </c>
      <c r="I71" s="2">
        <v>1198.48</v>
      </c>
      <c r="J71" s="2">
        <v>397</v>
      </c>
      <c r="K71" s="2">
        <v>1893.03</v>
      </c>
      <c r="L71" s="2">
        <v>891.32</v>
      </c>
      <c r="M71" s="2">
        <v>224</v>
      </c>
      <c r="N71" s="2">
        <v>420</v>
      </c>
      <c r="O71" s="2">
        <v>420</v>
      </c>
      <c r="P71" s="9"/>
      <c r="Q71" s="2">
        <f>SUM(OSRRefD21_10_0x)+IFERROR(SUM(OSRRefE21_10_0x),0)</f>
        <v>16084.23</v>
      </c>
    </row>
    <row r="72" spans="1:17" s="34" customFormat="1" collapsed="1" x14ac:dyDescent="0.25">
      <c r="A72" s="35"/>
      <c r="B72" s="11" t="str">
        <f>CONCATENATE("     ","Insurance                                         ")</f>
        <v xml:space="preserve">     Insurance                                         </v>
      </c>
      <c r="C72" s="11"/>
      <c r="D72" s="1">
        <f>SUM(OSRRefD21_11x_0)</f>
        <v>4246.03</v>
      </c>
      <c r="E72" s="1">
        <f>SUM(OSRRefD21_11x_1)</f>
        <v>4246.03</v>
      </c>
      <c r="F72" s="1">
        <f>SUM(OSRRefD21_11x_2)</f>
        <v>4246.03</v>
      </c>
      <c r="G72" s="1">
        <f>SUM(OSRRefD21_11x_3)</f>
        <v>10358.030000000001</v>
      </c>
      <c r="H72" s="1">
        <f>SUM(OSRRefD21_11x_4)</f>
        <v>4246.03</v>
      </c>
      <c r="I72" s="1">
        <f>SUM(OSRRefD21_11x_5)</f>
        <v>4246.03</v>
      </c>
      <c r="J72" s="1">
        <f>SUM(OSRRefD21_11x_6)</f>
        <v>4246.03</v>
      </c>
      <c r="K72" s="1">
        <f>SUM(OSRRefD21_11x_7)</f>
        <v>4246.03</v>
      </c>
      <c r="L72" s="1">
        <f>SUM(OSRRefD21_11x_8)</f>
        <v>4246.03</v>
      </c>
      <c r="M72" s="1">
        <f>SUM(OSRRefD21_11x_9)</f>
        <v>4246.03</v>
      </c>
      <c r="N72" s="1">
        <f>SUM(OSRRefE21_11x_0)</f>
        <v>4572</v>
      </c>
      <c r="O72" s="1">
        <f>SUM(OSRRefE21_11x_1)</f>
        <v>4572</v>
      </c>
      <c r="Q72" s="2">
        <f>SUM(OSRRefD20_11x)+IFERROR(SUM(OSRRefE20_11x),0)</f>
        <v>57716.299999999996</v>
      </c>
    </row>
    <row r="73" spans="1:17" s="34" customFormat="1" hidden="1" outlineLevel="1" x14ac:dyDescent="0.25">
      <c r="A73" s="35"/>
      <c r="B73" s="10" t="str">
        <f>CONCATENATE("          ","6314", " - ","LIABILITY INSURANCE")</f>
        <v xml:space="preserve">          6314 - LIABILITY INSURANCE</v>
      </c>
      <c r="C73" s="11"/>
      <c r="D73" s="2">
        <v>4246.03</v>
      </c>
      <c r="E73" s="2">
        <v>4246.03</v>
      </c>
      <c r="F73" s="2">
        <v>4246.03</v>
      </c>
      <c r="G73" s="2">
        <v>10358.030000000001</v>
      </c>
      <c r="H73" s="2">
        <v>4246.03</v>
      </c>
      <c r="I73" s="2">
        <v>4246.03</v>
      </c>
      <c r="J73" s="2">
        <v>4246.03</v>
      </c>
      <c r="K73" s="2">
        <v>4246.03</v>
      </c>
      <c r="L73" s="2">
        <v>4246.03</v>
      </c>
      <c r="M73" s="2">
        <v>4246.03</v>
      </c>
      <c r="N73" s="2">
        <v>4572</v>
      </c>
      <c r="O73" s="2">
        <v>4572</v>
      </c>
      <c r="P73" s="9"/>
      <c r="Q73" s="2">
        <f>SUM(OSRRefD21_11_0x)+IFERROR(SUM(OSRRefE21_11_0x),0)</f>
        <v>57716.299999999996</v>
      </c>
    </row>
    <row r="74" spans="1:17" s="34" customFormat="1" collapsed="1" x14ac:dyDescent="0.25">
      <c r="A74" s="35"/>
      <c r="B74" s="11" t="str">
        <f>CONCATENATE("     ","Interest                                          ")</f>
        <v xml:space="preserve">     Interest                                          </v>
      </c>
      <c r="C74" s="11"/>
      <c r="D74" s="1">
        <f>SUM(OSRRefD21_12x_0)</f>
        <v>7510</v>
      </c>
      <c r="E74" s="1">
        <f>SUM(OSRRefD21_12x_1)</f>
        <v>7510</v>
      </c>
      <c r="F74" s="1">
        <f>SUM(OSRRefD21_12x_2)</f>
        <v>7510</v>
      </c>
      <c r="G74" s="1">
        <f>SUM(OSRRefD21_12x_3)</f>
        <v>7023.15</v>
      </c>
      <c r="H74" s="1">
        <f>SUM(OSRRefD21_12x_4)</f>
        <v>7510</v>
      </c>
      <c r="I74" s="1">
        <f>SUM(OSRRefD21_12x_5)</f>
        <v>7510</v>
      </c>
      <c r="J74" s="1">
        <f>SUM(OSRRefD21_12x_6)</f>
        <v>7510</v>
      </c>
      <c r="K74" s="1">
        <f>SUM(OSRRefD21_12x_7)</f>
        <v>7510</v>
      </c>
      <c r="L74" s="1">
        <f>SUM(OSRRefD21_12x_8)</f>
        <v>7510</v>
      </c>
      <c r="M74" s="1">
        <f>SUM(OSRRefD21_12x_9)</f>
        <v>5967</v>
      </c>
      <c r="N74" s="1">
        <f>SUM(OSRRefE21_12x_0)</f>
        <v>7253</v>
      </c>
      <c r="O74" s="1">
        <f>SUM(OSRRefE21_12x_1)</f>
        <v>7253</v>
      </c>
      <c r="Q74" s="2">
        <f>SUM(OSRRefD20_12x)+IFERROR(SUM(OSRRefE20_12x),0)</f>
        <v>87576.15</v>
      </c>
    </row>
    <row r="75" spans="1:17" s="34" customFormat="1" hidden="1" outlineLevel="1" x14ac:dyDescent="0.25">
      <c r="A75" s="35"/>
      <c r="B75" s="10" t="str">
        <f>CONCATENATE("          ","6401", " - ","INTEREST EXPENSE")</f>
        <v xml:space="preserve">          6401 - INTEREST EXPENSE</v>
      </c>
      <c r="C75" s="11"/>
      <c r="D75" s="2">
        <v>7510</v>
      </c>
      <c r="E75" s="2">
        <v>7510</v>
      </c>
      <c r="F75" s="2">
        <v>7510</v>
      </c>
      <c r="G75" s="2">
        <v>7023.15</v>
      </c>
      <c r="H75" s="2">
        <v>7510</v>
      </c>
      <c r="I75" s="2">
        <v>7510</v>
      </c>
      <c r="J75" s="2">
        <v>7510</v>
      </c>
      <c r="K75" s="2">
        <v>7510</v>
      </c>
      <c r="L75" s="2">
        <v>7510</v>
      </c>
      <c r="M75" s="2">
        <v>5967</v>
      </c>
      <c r="N75" s="2">
        <v>7253</v>
      </c>
      <c r="O75" s="2">
        <v>7253</v>
      </c>
      <c r="P75" s="9"/>
      <c r="Q75" s="2">
        <f>SUM(OSRRefD21_12_0x)+IFERROR(SUM(OSRRefE21_12_0x),0)</f>
        <v>87576.15</v>
      </c>
    </row>
    <row r="76" spans="1:17" s="34" customFormat="1" collapsed="1" x14ac:dyDescent="0.25">
      <c r="A76" s="35"/>
      <c r="B76" s="11" t="str">
        <f>CONCATENATE("     ","R/H Commissions                                   ")</f>
        <v xml:space="preserve">     R/H Commissions                                   </v>
      </c>
      <c r="C76" s="11"/>
      <c r="D76" s="1">
        <f>SUM(OSRRefD21_13x_0)</f>
        <v>1151.68</v>
      </c>
      <c r="E76" s="1">
        <f>SUM(OSRRefD21_13x_1)</f>
        <v>3533.81</v>
      </c>
      <c r="F76" s="1">
        <f>SUM(OSRRefD21_13x_2)</f>
        <v>11792.03</v>
      </c>
      <c r="G76" s="1">
        <f>SUM(OSRRefD21_13x_3)</f>
        <v>12242.68</v>
      </c>
      <c r="H76" s="1">
        <f>SUM(OSRRefD21_13x_4)</f>
        <v>7982.87</v>
      </c>
      <c r="I76" s="1">
        <f>SUM(OSRRefD21_13x_5)</f>
        <v>38313.42</v>
      </c>
      <c r="J76" s="1">
        <f>SUM(OSRRefD21_13x_6)</f>
        <v>-29103.13</v>
      </c>
      <c r="K76" s="1">
        <f>SUM(OSRRefD21_13x_7)</f>
        <v>6342.49</v>
      </c>
      <c r="L76" s="1">
        <f>SUM(OSRRefD21_13x_8)</f>
        <v>6756.75</v>
      </c>
      <c r="M76" s="1">
        <f>SUM(OSRRefD21_13x_9)</f>
        <v>6627.19</v>
      </c>
      <c r="N76" s="1">
        <f>SUM(OSRRefE21_13x_0)</f>
        <v>6587</v>
      </c>
      <c r="O76" s="1">
        <f>SUM(OSRRefE21_13x_1)</f>
        <v>2000</v>
      </c>
      <c r="Q76" s="2">
        <f>SUM(OSRRefD20_13x)+IFERROR(SUM(OSRRefE20_13x),0)</f>
        <v>74226.789999999979</v>
      </c>
    </row>
    <row r="77" spans="1:17" s="34" customFormat="1" hidden="1" outlineLevel="1" x14ac:dyDescent="0.25">
      <c r="A77" s="35"/>
      <c r="B77" s="10" t="str">
        <f>CONCATENATE("          ","6387", " - ","COMMISSION DUE HOUSING")</f>
        <v xml:space="preserve">          6387 - COMMISSION DUE HOUSING</v>
      </c>
      <c r="C77" s="11"/>
      <c r="D77" s="2">
        <v>1151.68</v>
      </c>
      <c r="E77" s="2">
        <v>3533.81</v>
      </c>
      <c r="F77" s="2">
        <v>11792.03</v>
      </c>
      <c r="G77" s="2">
        <v>12242.68</v>
      </c>
      <c r="H77" s="2">
        <v>7982.87</v>
      </c>
      <c r="I77" s="2">
        <v>38313.42</v>
      </c>
      <c r="J77" s="2">
        <v>-29103.13</v>
      </c>
      <c r="K77" s="2">
        <v>6342.49</v>
      </c>
      <c r="L77" s="2">
        <v>6756.75</v>
      </c>
      <c r="M77" s="2">
        <v>6627.19</v>
      </c>
      <c r="N77" s="2">
        <v>6587</v>
      </c>
      <c r="O77" s="2">
        <v>2000</v>
      </c>
      <c r="P77" s="9"/>
      <c r="Q77" s="2">
        <f>SUM(OSRRefD21_13_0x)+IFERROR(SUM(OSRRefE21_13_0x),0)</f>
        <v>74226.789999999979</v>
      </c>
    </row>
    <row r="78" spans="1:17" s="34" customFormat="1" collapsed="1" x14ac:dyDescent="0.25">
      <c r="A78" s="35"/>
      <c r="B78" s="11" t="str">
        <f>CONCATENATE("     ","Rent                                              ")</f>
        <v xml:space="preserve">     Rent                                              </v>
      </c>
      <c r="C78" s="11"/>
      <c r="D78" s="1">
        <f>SUM(OSRRefD21_14x_0)</f>
        <v>0</v>
      </c>
      <c r="E78" s="1">
        <f>SUM(OSRRefD21_14x_1)</f>
        <v>0</v>
      </c>
      <c r="F78" s="1">
        <f>SUM(OSRRefD21_14x_2)</f>
        <v>5550</v>
      </c>
      <c r="G78" s="1">
        <f>SUM(OSRRefD21_14x_3)</f>
        <v>0</v>
      </c>
      <c r="H78" s="1">
        <f>SUM(OSRRefD21_14x_4)</f>
        <v>0</v>
      </c>
      <c r="I78" s="1">
        <f>SUM(OSRRefD21_14x_5)</f>
        <v>5550</v>
      </c>
      <c r="J78" s="1">
        <f>SUM(OSRRefD21_14x_6)</f>
        <v>0</v>
      </c>
      <c r="K78" s="1">
        <f>SUM(OSRRefD21_14x_7)</f>
        <v>0</v>
      </c>
      <c r="L78" s="1">
        <f>SUM(OSRRefD21_14x_8)</f>
        <v>0</v>
      </c>
      <c r="M78" s="1">
        <f>SUM(OSRRefD21_14x_9)</f>
        <v>1850</v>
      </c>
      <c r="N78" s="1">
        <f>SUM(OSRRefE21_14x_0)</f>
        <v>1943</v>
      </c>
      <c r="O78" s="1">
        <f>SUM(OSRRefE21_14x_1)</f>
        <v>1943</v>
      </c>
      <c r="Q78" s="2">
        <f>SUM(OSRRefD20_14x)+IFERROR(SUM(OSRRefE20_14x),0)</f>
        <v>16836</v>
      </c>
    </row>
    <row r="79" spans="1:17" s="34" customFormat="1" hidden="1" outlineLevel="1" x14ac:dyDescent="0.25">
      <c r="A79" s="35"/>
      <c r="B79" s="10" t="str">
        <f>CONCATENATE("          ","6273", " - ","RENT")</f>
        <v xml:space="preserve">          6273 - RENT</v>
      </c>
      <c r="C79" s="11"/>
      <c r="D79" s="2"/>
      <c r="E79" s="2"/>
      <c r="F79" s="2">
        <v>5550</v>
      </c>
      <c r="G79" s="2"/>
      <c r="H79" s="2"/>
      <c r="I79" s="2">
        <v>5550</v>
      </c>
      <c r="J79" s="2"/>
      <c r="K79" s="2"/>
      <c r="L79" s="2"/>
      <c r="M79" s="2">
        <v>1850</v>
      </c>
      <c r="N79" s="2">
        <v>1943</v>
      </c>
      <c r="O79" s="2">
        <v>1943</v>
      </c>
      <c r="P79" s="9"/>
      <c r="Q79" s="2">
        <f>SUM(OSRRefD21_14_0x)+IFERROR(SUM(OSRRefE21_14_0x),0)</f>
        <v>16836</v>
      </c>
    </row>
    <row r="80" spans="1:17" s="34" customFormat="1" collapsed="1" x14ac:dyDescent="0.25">
      <c r="A80" s="35"/>
      <c r="B80" s="11" t="str">
        <f>CONCATENATE("     ","Repair and Maintenance                            ")</f>
        <v xml:space="preserve">     Repair and Maintenance                            </v>
      </c>
      <c r="C80" s="11"/>
      <c r="D80" s="1">
        <f>SUM(OSRRefD21_15x_0)</f>
        <v>4112.0599999999995</v>
      </c>
      <c r="E80" s="1">
        <f>SUM(OSRRefD21_15x_1)</f>
        <v>6762.41</v>
      </c>
      <c r="F80" s="1">
        <f>SUM(OSRRefD21_15x_2)</f>
        <v>3046.76</v>
      </c>
      <c r="G80" s="1">
        <f>SUM(OSRRefD21_15x_3)</f>
        <v>4413.82</v>
      </c>
      <c r="H80" s="1">
        <f>SUM(OSRRefD21_15x_4)</f>
        <v>4248.8500000000004</v>
      </c>
      <c r="I80" s="1">
        <f>SUM(OSRRefD21_15x_5)</f>
        <v>5421.87</v>
      </c>
      <c r="J80" s="1">
        <f>SUM(OSRRefD21_15x_6)</f>
        <v>6434.15</v>
      </c>
      <c r="K80" s="1">
        <f>SUM(OSRRefD21_15x_7)</f>
        <v>5623.8700000000008</v>
      </c>
      <c r="L80" s="1">
        <f>SUM(OSRRefD21_15x_8)</f>
        <v>20791.330000000002</v>
      </c>
      <c r="M80" s="1">
        <f>SUM(OSRRefD21_15x_9)</f>
        <v>5613.52</v>
      </c>
      <c r="N80" s="1">
        <f>SUM(OSRRefE21_15x_0)</f>
        <v>6588</v>
      </c>
      <c r="O80" s="1">
        <f>SUM(OSRRefE21_15x_1)</f>
        <v>3788</v>
      </c>
      <c r="Q80" s="2">
        <f>SUM(OSRRefD20_15x)+IFERROR(SUM(OSRRefE20_15x),0)</f>
        <v>76844.639999999999</v>
      </c>
    </row>
    <row r="81" spans="1:17" s="34" customFormat="1" hidden="1" outlineLevel="1" x14ac:dyDescent="0.25">
      <c r="A81" s="35"/>
      <c r="B81" s="10" t="str">
        <f>CONCATENATE("          ","6371", " - ","COMPUTER SOFTWARE MAINTENANCE")</f>
        <v xml:space="preserve">          6371 - COMPUTER SOFTWARE MAINTENANCE</v>
      </c>
      <c r="C81" s="11"/>
      <c r="D81" s="2"/>
      <c r="E81" s="2"/>
      <c r="F81" s="2"/>
      <c r="G81" s="2"/>
      <c r="H81" s="2"/>
      <c r="I81" s="2">
        <v>3500</v>
      </c>
      <c r="J81" s="2">
        <v>3500</v>
      </c>
      <c r="K81" s="2">
        <v>4202.2700000000004</v>
      </c>
      <c r="L81" s="2">
        <v>3500</v>
      </c>
      <c r="M81" s="2">
        <v>3500</v>
      </c>
      <c r="N81" s="2">
        <v>3500</v>
      </c>
      <c r="O81" s="2">
        <v>3500</v>
      </c>
      <c r="P81" s="9"/>
      <c r="Q81" s="2">
        <f>SUM(OSRRefD21_15_0x)+IFERROR(SUM(OSRRefE21_15_0x),0)</f>
        <v>25202.27</v>
      </c>
    </row>
    <row r="82" spans="1:17" s="34" customFormat="1" hidden="1" outlineLevel="1" x14ac:dyDescent="0.25">
      <c r="A82" s="35"/>
      <c r="B82" s="10" t="str">
        <f>CONCATENATE("          ","6372", " - ","COMPUTER HARDWARE MAINTENANCE")</f>
        <v xml:space="preserve">          6372 - COMPUTER HARDWARE MAINTENANCE</v>
      </c>
      <c r="C82" s="11"/>
      <c r="D82" s="2"/>
      <c r="E82" s="2"/>
      <c r="F82" s="2"/>
      <c r="G82" s="2"/>
      <c r="H82" s="2"/>
      <c r="I82" s="2"/>
      <c r="J82" s="2"/>
      <c r="K82" s="2"/>
      <c r="L82" s="2">
        <v>100</v>
      </c>
      <c r="M82" s="2"/>
      <c r="N82" s="2"/>
      <c r="O82" s="2"/>
      <c r="P82" s="9"/>
      <c r="Q82" s="2">
        <f>SUM(OSRRefD21_15_1x)+IFERROR(SUM(OSRRefE21_15_1x),0)</f>
        <v>100</v>
      </c>
    </row>
    <row r="83" spans="1:17" s="34" customFormat="1" hidden="1" outlineLevel="1" x14ac:dyDescent="0.25">
      <c r="A83" s="35"/>
      <c r="B83" s="10" t="str">
        <f>CONCATENATE("          ","6373", " - ","MAINTENANCE CONTRACTS")</f>
        <v xml:space="preserve">          6373 - MAINTENANCE CONTRACTS</v>
      </c>
      <c r="C83" s="11"/>
      <c r="D83" s="2">
        <v>2355.2399999999998</v>
      </c>
      <c r="E83" s="2">
        <v>4161.01</v>
      </c>
      <c r="F83" s="2">
        <v>1889.94</v>
      </c>
      <c r="G83" s="2">
        <v>3197.29</v>
      </c>
      <c r="H83" s="2">
        <v>908.53</v>
      </c>
      <c r="I83" s="2">
        <v>1479.4</v>
      </c>
      <c r="J83" s="2">
        <v>5.94</v>
      </c>
      <c r="K83" s="2">
        <v>9.5399999999999991</v>
      </c>
      <c r="L83" s="2">
        <v>7443.98</v>
      </c>
      <c r="M83" s="2">
        <v>12.34</v>
      </c>
      <c r="N83" s="2">
        <v>1838</v>
      </c>
      <c r="O83" s="2">
        <v>38</v>
      </c>
      <c r="P83" s="9"/>
      <c r="Q83" s="2">
        <f>SUM(OSRRefD21_15_2x)+IFERROR(SUM(OSRRefE21_15_2x),0)</f>
        <v>23339.210000000003</v>
      </c>
    </row>
    <row r="84" spans="1:17" s="34" customFormat="1" hidden="1" outlineLevel="1" x14ac:dyDescent="0.25">
      <c r="A84" s="35"/>
      <c r="B84" s="10" t="str">
        <f>CONCATENATE("          ","6375", " - ","OUTSIDE REPAIRS &amp; MAINTENANCE")</f>
        <v xml:space="preserve">          6375 - OUTSIDE REPAIRS &amp; MAINTENANCE</v>
      </c>
      <c r="C84" s="11"/>
      <c r="D84" s="2">
        <v>1756.82</v>
      </c>
      <c r="E84" s="2">
        <v>2601.4</v>
      </c>
      <c r="F84" s="2">
        <v>1156.82</v>
      </c>
      <c r="G84" s="2">
        <v>1216.53</v>
      </c>
      <c r="H84" s="2">
        <v>3340.32</v>
      </c>
      <c r="I84" s="2">
        <v>442.47</v>
      </c>
      <c r="J84" s="2">
        <v>2928.21</v>
      </c>
      <c r="K84" s="2">
        <v>1412.06</v>
      </c>
      <c r="L84" s="2">
        <v>9747.35</v>
      </c>
      <c r="M84" s="2">
        <v>2101.1799999999998</v>
      </c>
      <c r="N84" s="2">
        <v>1250</v>
      </c>
      <c r="O84" s="2">
        <v>250</v>
      </c>
      <c r="P84" s="9"/>
      <c r="Q84" s="2">
        <f>SUM(OSRRefD21_15_3x)+IFERROR(SUM(OSRRefE21_15_3x),0)</f>
        <v>28203.16</v>
      </c>
    </row>
    <row r="85" spans="1:17" s="34" customFormat="1" collapsed="1" x14ac:dyDescent="0.25">
      <c r="A85" s="35"/>
      <c r="B85" s="11" t="str">
        <f>CONCATENATE("     ","Royalty &amp; Commissions                             ")</f>
        <v xml:space="preserve">     Royalty &amp; Commissions                             </v>
      </c>
      <c r="C85" s="11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SUM(OSRRefD21_16x_8)</f>
        <v>0</v>
      </c>
      <c r="M85" s="1">
        <f>SUM(OSRRefD21_16x_9)</f>
        <v>0</v>
      </c>
      <c r="N85" s="1">
        <f>SUM(OSRRefE21_16x_0)</f>
        <v>0</v>
      </c>
      <c r="O85" s="1">
        <f>SUM(OSRRefE21_16x_1)</f>
        <v>0</v>
      </c>
      <c r="Q85" s="2">
        <f>SUM(OSRRefD20_16x)+IFERROR(SUM(OSRRefE20_16x),0)</f>
        <v>0</v>
      </c>
    </row>
    <row r="86" spans="1:17" s="34" customFormat="1" hidden="1" outlineLevel="1" x14ac:dyDescent="0.25">
      <c r="A86" s="35"/>
      <c r="B86" s="10" t="str">
        <f>CONCATENATE("          ","6254", " - ","ROYALTY &amp; COMMISSIONS")</f>
        <v xml:space="preserve">          6254 - ROYALTY &amp; COMMISSIONS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>
        <v>0</v>
      </c>
      <c r="O86" s="2">
        <v>0</v>
      </c>
      <c r="P86" s="9"/>
      <c r="Q86" s="2">
        <f>SUM(OSRRefD21_16_0x)+IFERROR(SUM(OSRRefE21_16_0x),0)</f>
        <v>0</v>
      </c>
    </row>
    <row r="87" spans="1:17" s="34" customFormat="1" hidden="1" outlineLevel="1" x14ac:dyDescent="0.25">
      <c r="A87" s="35"/>
      <c r="B87" s="10" t="str">
        <f>CONCATENATE("          ","6259", " - ","ROYALTY &amp; COMMISSIONS")</f>
        <v xml:space="preserve">          6259 - ROYALTY &amp; COMMISSIONS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>
        <v>0</v>
      </c>
      <c r="O87" s="2">
        <v>0</v>
      </c>
      <c r="P87" s="9"/>
      <c r="Q87" s="2">
        <f>SUM(OSRRefD21_16_1x)+IFERROR(SUM(OSRRefE21_16_1x),0)</f>
        <v>0</v>
      </c>
    </row>
    <row r="88" spans="1:17" s="34" customFormat="1" collapsed="1" x14ac:dyDescent="0.25">
      <c r="A88" s="35"/>
      <c r="B88" s="11" t="str">
        <f>CONCATENATE("     ","Services                                          ")</f>
        <v xml:space="preserve">     Services                                          </v>
      </c>
      <c r="C88" s="11"/>
      <c r="D88" s="1">
        <f>SUM(OSRRefD21_17x_0)</f>
        <v>12759.87</v>
      </c>
      <c r="E88" s="1">
        <f>SUM(OSRRefD21_17x_1)</f>
        <v>12221.41</v>
      </c>
      <c r="F88" s="1">
        <f>SUM(OSRRefD21_17x_2)</f>
        <v>17313.03</v>
      </c>
      <c r="G88" s="1">
        <f>SUM(OSRRefD21_17x_3)</f>
        <v>18350.830000000002</v>
      </c>
      <c r="H88" s="1">
        <f>SUM(OSRRefD21_17x_4)</f>
        <v>17799.97</v>
      </c>
      <c r="I88" s="1">
        <f>SUM(OSRRefD21_17x_5)</f>
        <v>23770.14</v>
      </c>
      <c r="J88" s="1">
        <f>SUM(OSRRefD21_17x_6)</f>
        <v>20590.37</v>
      </c>
      <c r="K88" s="1">
        <f>SUM(OSRRefD21_17x_7)</f>
        <v>16399.45</v>
      </c>
      <c r="L88" s="1">
        <f>SUM(OSRRefD21_17x_8)</f>
        <v>9446.7899999999991</v>
      </c>
      <c r="M88" s="1">
        <f>SUM(OSRRefD21_17x_9)</f>
        <v>23614.69</v>
      </c>
      <c r="N88" s="1">
        <f>SUM(OSRRefE21_17x_0)</f>
        <v>21369</v>
      </c>
      <c r="O88" s="1">
        <f>SUM(OSRRefE21_17x_1)</f>
        <v>22144</v>
      </c>
      <c r="Q88" s="2">
        <f>SUM(OSRRefD20_17x)+IFERROR(SUM(OSRRefE20_17x),0)</f>
        <v>215779.55000000002</v>
      </c>
    </row>
    <row r="89" spans="1:17" s="34" customFormat="1" hidden="1" outlineLevel="1" x14ac:dyDescent="0.25">
      <c r="A89" s="35"/>
      <c r="B89" s="10" t="str">
        <f>CONCATENATE("          ","6282", " - ","JANITORIAL/EXTERMINATOR EXPENS")</f>
        <v xml:space="preserve">          6282 - JANITORIAL/EXTERMINATOR EXPENS</v>
      </c>
      <c r="C89" s="11"/>
      <c r="D89" s="2">
        <v>1508.3</v>
      </c>
      <c r="E89" s="2">
        <v>1396.32</v>
      </c>
      <c r="F89" s="2">
        <v>8.36</v>
      </c>
      <c r="G89" s="2">
        <v>2597.6799999999998</v>
      </c>
      <c r="H89" s="2">
        <v>130.69999999999999</v>
      </c>
      <c r="I89" s="2">
        <v>4501.1899999999996</v>
      </c>
      <c r="J89" s="2">
        <v>5550.87</v>
      </c>
      <c r="K89" s="2">
        <v>1047.5999999999999</v>
      </c>
      <c r="L89" s="2">
        <v>3759</v>
      </c>
      <c r="M89" s="2">
        <v>4056.96</v>
      </c>
      <c r="N89" s="2">
        <v>2705</v>
      </c>
      <c r="O89" s="2">
        <v>3332</v>
      </c>
      <c r="P89" s="9"/>
      <c r="Q89" s="2">
        <f>SUM(OSRRefD21_17_0x)+IFERROR(SUM(OSRRefE21_17_0x),0)</f>
        <v>30593.979999999996</v>
      </c>
    </row>
    <row r="90" spans="1:17" s="34" customFormat="1" hidden="1" outlineLevel="1" x14ac:dyDescent="0.25">
      <c r="A90" s="35"/>
      <c r="B90" s="10" t="str">
        <f>CONCATENATE("          ","6283", " - ","PLANT SERVICE")</f>
        <v xml:space="preserve">          6283 - PLANT SERVICE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0</v>
      </c>
      <c r="O90" s="2">
        <v>0</v>
      </c>
      <c r="P90" s="9"/>
      <c r="Q90" s="2">
        <f>SUM(OSRRefD21_17_1x)+IFERROR(SUM(OSRRefE21_17_1x),0)</f>
        <v>0</v>
      </c>
    </row>
    <row r="91" spans="1:17" s="34" customFormat="1" hidden="1" outlineLevel="1" x14ac:dyDescent="0.25">
      <c r="A91" s="35"/>
      <c r="B91" s="10" t="str">
        <f>CONCATENATE("          ","6284", " - ","TRASH REMOVAL EXPENSE")</f>
        <v xml:space="preserve">          6284 - TRASH REMOVAL EXPENSE</v>
      </c>
      <c r="C91" s="11"/>
      <c r="D91" s="2">
        <v>1000</v>
      </c>
      <c r="E91" s="2">
        <v>1000</v>
      </c>
      <c r="F91" s="2">
        <v>761</v>
      </c>
      <c r="G91" s="2">
        <v>5369</v>
      </c>
      <c r="H91" s="2">
        <v>5369</v>
      </c>
      <c r="I91" s="2">
        <v>5651.75</v>
      </c>
      <c r="J91" s="2">
        <v>5369</v>
      </c>
      <c r="K91" s="2">
        <v>5369</v>
      </c>
      <c r="L91" s="2">
        <v>-8963</v>
      </c>
      <c r="M91" s="2">
        <v>5369</v>
      </c>
      <c r="N91" s="2">
        <v>3623</v>
      </c>
      <c r="O91" s="2">
        <v>3623</v>
      </c>
      <c r="P91" s="9"/>
      <c r="Q91" s="2">
        <f>SUM(OSRRefD21_17_2x)+IFERROR(SUM(OSRRefE21_17_2x),0)</f>
        <v>33540.75</v>
      </c>
    </row>
    <row r="92" spans="1:17" s="34" customFormat="1" hidden="1" outlineLevel="1" x14ac:dyDescent="0.25">
      <c r="A92" s="35"/>
      <c r="B92" s="10" t="str">
        <f>CONCATENATE("          ","6285", " - ","JANITORIAL SERVICES")</f>
        <v xml:space="preserve">          6285 - JANITORIAL SERVICES</v>
      </c>
      <c r="C92" s="11"/>
      <c r="D92" s="2">
        <v>8314.1</v>
      </c>
      <c r="E92" s="2">
        <v>7312.63</v>
      </c>
      <c r="F92" s="2">
        <v>15033.73</v>
      </c>
      <c r="G92" s="2">
        <v>8351.15</v>
      </c>
      <c r="H92" s="2">
        <v>11530.59</v>
      </c>
      <c r="I92" s="2">
        <v>11530.59</v>
      </c>
      <c r="J92" s="2">
        <v>8897.19</v>
      </c>
      <c r="K92" s="2">
        <v>8897.19</v>
      </c>
      <c r="L92" s="2">
        <v>13772.56</v>
      </c>
      <c r="M92" s="2">
        <v>12282.71</v>
      </c>
      <c r="N92" s="2">
        <v>12041</v>
      </c>
      <c r="O92" s="2">
        <v>12041</v>
      </c>
      <c r="P92" s="9"/>
      <c r="Q92" s="2">
        <f>SUM(OSRRefD21_17_3x)+IFERROR(SUM(OSRRefE21_17_3x),0)</f>
        <v>130004.44</v>
      </c>
    </row>
    <row r="93" spans="1:17" s="34" customFormat="1" hidden="1" outlineLevel="1" x14ac:dyDescent="0.25">
      <c r="A93" s="35"/>
      <c r="B93" s="10" t="str">
        <f>CONCATENATE("          ","6286", " - ","LAUNDRY EXPENSE")</f>
        <v xml:space="preserve">          6286 - LAUNDRY EXPENSE</v>
      </c>
      <c r="C93" s="11"/>
      <c r="D93" s="2">
        <v>1937.47</v>
      </c>
      <c r="E93" s="2">
        <v>2512.46</v>
      </c>
      <c r="F93" s="2">
        <v>1509.94</v>
      </c>
      <c r="G93" s="2">
        <v>2033</v>
      </c>
      <c r="H93" s="2">
        <v>769.68</v>
      </c>
      <c r="I93" s="2">
        <v>2086.61</v>
      </c>
      <c r="J93" s="2">
        <v>773.31</v>
      </c>
      <c r="K93" s="2">
        <v>1085.6600000000001</v>
      </c>
      <c r="L93" s="2">
        <v>878.23</v>
      </c>
      <c r="M93" s="2">
        <v>1906.02</v>
      </c>
      <c r="N93" s="2">
        <v>3000</v>
      </c>
      <c r="O93" s="2">
        <v>3148</v>
      </c>
      <c r="P93" s="9"/>
      <c r="Q93" s="2">
        <f>SUM(OSRRefD21_17_4x)+IFERROR(SUM(OSRRefE21_17_4x),0)</f>
        <v>21640.38</v>
      </c>
    </row>
    <row r="94" spans="1:17" s="34" customFormat="1" collapsed="1" x14ac:dyDescent="0.25">
      <c r="A94" s="35"/>
      <c r="B94" s="11" t="str">
        <f>CONCATENATE("     ","Subscriptions &amp; Dues                              ")</f>
        <v xml:space="preserve">     Subscriptions &amp; Dues                              </v>
      </c>
      <c r="C94" s="11"/>
      <c r="D94" s="1">
        <f>SUM(OSRRefD21_18x_0)</f>
        <v>9.32</v>
      </c>
      <c r="E94" s="1">
        <f>SUM(OSRRefD21_18x_1)</f>
        <v>0</v>
      </c>
      <c r="F94" s="1">
        <f>SUM(OSRRefD21_18x_2)</f>
        <v>131.34</v>
      </c>
      <c r="G94" s="1">
        <f>SUM(OSRRefD21_18x_3)</f>
        <v>130.66999999999999</v>
      </c>
      <c r="H94" s="1">
        <f>SUM(OSRRefD21_18x_4)</f>
        <v>795</v>
      </c>
      <c r="I94" s="1">
        <f>SUM(OSRRefD21_18x_5)</f>
        <v>262.83999999999997</v>
      </c>
      <c r="J94" s="1">
        <f>SUM(OSRRefD21_18x_6)</f>
        <v>0</v>
      </c>
      <c r="K94" s="1">
        <f>SUM(OSRRefD21_18x_7)</f>
        <v>262.83999999999997</v>
      </c>
      <c r="L94" s="1">
        <f>SUM(OSRRefD21_18x_8)</f>
        <v>119.07</v>
      </c>
      <c r="M94" s="1">
        <f>SUM(OSRRefD21_18x_9)</f>
        <v>0</v>
      </c>
      <c r="N94" s="1">
        <f>SUM(OSRRefE21_18x_0)</f>
        <v>200</v>
      </c>
      <c r="O94" s="1">
        <f>SUM(OSRRefE21_18x_1)</f>
        <v>200</v>
      </c>
      <c r="Q94" s="2">
        <f>SUM(OSRRefD20_18x)+IFERROR(SUM(OSRRefE20_18x),0)</f>
        <v>2111.08</v>
      </c>
    </row>
    <row r="95" spans="1:17" s="34" customFormat="1" hidden="1" outlineLevel="1" x14ac:dyDescent="0.25">
      <c r="A95" s="35"/>
      <c r="B95" s="10" t="str">
        <f>CONCATENATE("          ","6258", " - ","MEMBERSHIP DUES")</f>
        <v xml:space="preserve">          6258 - MEMBERSHIP DUES</v>
      </c>
      <c r="C95" s="11"/>
      <c r="D95" s="2"/>
      <c r="E95" s="2"/>
      <c r="F95" s="2"/>
      <c r="G95" s="2"/>
      <c r="H95" s="2">
        <v>795</v>
      </c>
      <c r="I95" s="2"/>
      <c r="J95" s="2"/>
      <c r="K95" s="2"/>
      <c r="L95" s="2"/>
      <c r="M95" s="2"/>
      <c r="N95" s="2"/>
      <c r="O95" s="2"/>
      <c r="P95" s="9"/>
      <c r="Q95" s="2">
        <f>SUM(OSRRefD21_18_0x)+IFERROR(SUM(OSRRefE21_18_0x),0)</f>
        <v>795</v>
      </c>
    </row>
    <row r="96" spans="1:17" s="34" customFormat="1" hidden="1" outlineLevel="1" x14ac:dyDescent="0.25">
      <c r="A96" s="35"/>
      <c r="B96" s="10" t="str">
        <f>CONCATENATE("          ","6275", " - ","SUBSCRIPTIONS")</f>
        <v xml:space="preserve">          6275 - SUBSCRIPTIONS</v>
      </c>
      <c r="C96" s="11"/>
      <c r="D96" s="2">
        <v>9.32</v>
      </c>
      <c r="E96" s="2"/>
      <c r="F96" s="2">
        <v>131.34</v>
      </c>
      <c r="G96" s="2">
        <v>130.66999999999999</v>
      </c>
      <c r="H96" s="2"/>
      <c r="I96" s="2">
        <v>262.83999999999997</v>
      </c>
      <c r="J96" s="2"/>
      <c r="K96" s="2">
        <v>262.83999999999997</v>
      </c>
      <c r="L96" s="2">
        <v>119.07</v>
      </c>
      <c r="M96" s="2"/>
      <c r="N96" s="2">
        <v>200</v>
      </c>
      <c r="O96" s="2">
        <v>200</v>
      </c>
      <c r="P96" s="9"/>
      <c r="Q96" s="2">
        <f>SUM(OSRRefD21_18_1x)+IFERROR(SUM(OSRRefE21_18_1x),0)</f>
        <v>1316.08</v>
      </c>
    </row>
    <row r="97" spans="1:17" s="34" customFormat="1" collapsed="1" x14ac:dyDescent="0.25">
      <c r="A97" s="35"/>
      <c r="B97" s="11" t="str">
        <f>CONCATENATE("     ","Supplies                                          ")</f>
        <v xml:space="preserve">     Supplies                                          </v>
      </c>
      <c r="C97" s="11"/>
      <c r="D97" s="1">
        <f>SUM(OSRRefD21_19x_0)</f>
        <v>7354.66</v>
      </c>
      <c r="E97" s="1">
        <f>SUM(OSRRefD21_19x_1)</f>
        <v>-9521.130000000001</v>
      </c>
      <c r="F97" s="1">
        <f>SUM(OSRRefD21_19x_2)</f>
        <v>9165.2500000000018</v>
      </c>
      <c r="G97" s="1">
        <f>SUM(OSRRefD21_19x_3)</f>
        <v>25971.449999999997</v>
      </c>
      <c r="H97" s="1">
        <f>SUM(OSRRefD21_19x_4)</f>
        <v>21462.29</v>
      </c>
      <c r="I97" s="1">
        <f>SUM(OSRRefD21_19x_5)</f>
        <v>13761.939999999999</v>
      </c>
      <c r="J97" s="1">
        <f>SUM(OSRRefD21_19x_6)</f>
        <v>10874.97</v>
      </c>
      <c r="K97" s="1">
        <f>SUM(OSRRefD21_19x_7)</f>
        <v>12155.08</v>
      </c>
      <c r="L97" s="1">
        <f>SUM(OSRRefD21_19x_8)</f>
        <v>7584.1299999999992</v>
      </c>
      <c r="M97" s="1">
        <f>SUM(OSRRefD21_19x_9)</f>
        <v>13903.92</v>
      </c>
      <c r="N97" s="1">
        <f>SUM(OSRRefE21_19x_0)</f>
        <v>9393</v>
      </c>
      <c r="O97" s="1">
        <f>SUM(OSRRefE21_19x_1)</f>
        <v>3375</v>
      </c>
      <c r="Q97" s="2">
        <f>SUM(OSRRefD20_19x)+IFERROR(SUM(OSRRefE20_19x),0)</f>
        <v>125480.56</v>
      </c>
    </row>
    <row r="98" spans="1:17" s="34" customFormat="1" hidden="1" outlineLevel="1" x14ac:dyDescent="0.25">
      <c r="A98" s="35"/>
      <c r="B98" s="10" t="str">
        <f>CONCATENATE("          ","6234", " - ","EXPENDABLE SUPPLIES &amp; EQUIPMEN")</f>
        <v xml:space="preserve">          6234 - EXPENDABLE SUPPLIES &amp; EQUIPMEN</v>
      </c>
      <c r="C98" s="11"/>
      <c r="D98" s="2"/>
      <c r="E98" s="2">
        <v>255.78</v>
      </c>
      <c r="F98" s="2"/>
      <c r="G98" s="2">
        <v>55.13</v>
      </c>
      <c r="H98" s="2"/>
      <c r="I98" s="2"/>
      <c r="J98" s="2"/>
      <c r="K98" s="2"/>
      <c r="L98" s="2"/>
      <c r="M98" s="2">
        <v>26.25</v>
      </c>
      <c r="N98" s="2">
        <v>600</v>
      </c>
      <c r="O98" s="2">
        <v>600</v>
      </c>
      <c r="P98" s="9"/>
      <c r="Q98" s="2">
        <f>SUM(OSRRefD21_19_0x)+IFERROR(SUM(OSRRefE21_19_0x),0)</f>
        <v>1537.16</v>
      </c>
    </row>
    <row r="99" spans="1:17" s="34" customFormat="1" hidden="1" outlineLevel="1" x14ac:dyDescent="0.25">
      <c r="A99" s="35"/>
      <c r="B99" s="10" t="str">
        <f>CONCATENATE("          ","6235", " - ","COVID-19 EXPENSES")</f>
        <v xml:space="preserve">          6235 - COVID-19 EXPENSES</v>
      </c>
      <c r="C99" s="11"/>
      <c r="D99" s="2">
        <v>5501.94</v>
      </c>
      <c r="E99" s="2">
        <v>8993.76</v>
      </c>
      <c r="F99" s="2">
        <v>4045.26</v>
      </c>
      <c r="G99" s="2">
        <v>19427.55</v>
      </c>
      <c r="H99" s="2">
        <v>11925.52</v>
      </c>
      <c r="I99" s="2">
        <v>4714.9799999999996</v>
      </c>
      <c r="J99" s="2">
        <v>2921.2</v>
      </c>
      <c r="K99" s="2">
        <v>2921.2</v>
      </c>
      <c r="L99" s="2"/>
      <c r="M99" s="2">
        <v>2986.65</v>
      </c>
      <c r="N99" s="2">
        <v>4200</v>
      </c>
      <c r="O99" s="2">
        <v>2200</v>
      </c>
      <c r="P99" s="9"/>
      <c r="Q99" s="2">
        <f>SUM(OSRRefD21_19_1x)+IFERROR(SUM(OSRRefE21_19_1x),0)</f>
        <v>69838.06</v>
      </c>
    </row>
    <row r="100" spans="1:17" s="34" customFormat="1" hidden="1" outlineLevel="1" x14ac:dyDescent="0.25">
      <c r="A100" s="35"/>
      <c r="B100" s="10" t="str">
        <f>CONCATENATE("          ","6237", " - ","JANITORIAL SUPPLIES")</f>
        <v xml:space="preserve">          6237 - JANITORIAL SUPPLIES</v>
      </c>
      <c r="C100" s="11"/>
      <c r="D100" s="2">
        <v>1188.04</v>
      </c>
      <c r="E100" s="2">
        <v>1416.91</v>
      </c>
      <c r="F100" s="2">
        <v>3488.76</v>
      </c>
      <c r="G100" s="2">
        <v>2066.5</v>
      </c>
      <c r="H100" s="2">
        <v>462.1</v>
      </c>
      <c r="I100" s="2">
        <v>4801.05</v>
      </c>
      <c r="J100" s="2">
        <v>4171.3599999999997</v>
      </c>
      <c r="K100" s="2">
        <v>648.99</v>
      </c>
      <c r="L100" s="2">
        <v>1954.49</v>
      </c>
      <c r="M100" s="2">
        <v>1902.43</v>
      </c>
      <c r="N100" s="2">
        <v>3200</v>
      </c>
      <c r="O100" s="2">
        <v>200</v>
      </c>
      <c r="P100" s="9"/>
      <c r="Q100" s="2">
        <f>SUM(OSRRefD21_19_2x)+IFERROR(SUM(OSRRefE21_19_2x),0)</f>
        <v>25500.630000000005</v>
      </c>
    </row>
    <row r="101" spans="1:17" s="34" customFormat="1" hidden="1" outlineLevel="1" x14ac:dyDescent="0.25">
      <c r="A101" s="35"/>
      <c r="B101" s="10" t="str">
        <f>CONCATENATE("          ","6239", " - ","KITCHEN SUPPLIES")</f>
        <v xml:space="preserve">          6239 - KITCHEN SUPPLIES</v>
      </c>
      <c r="C101" s="11"/>
      <c r="D101" s="2">
        <v>50</v>
      </c>
      <c r="E101" s="2">
        <v>2324.31</v>
      </c>
      <c r="F101" s="2">
        <v>553.01</v>
      </c>
      <c r="G101" s="2">
        <v>1264.19</v>
      </c>
      <c r="H101" s="2">
        <v>1494.83</v>
      </c>
      <c r="I101" s="2">
        <v>148.04</v>
      </c>
      <c r="J101" s="2">
        <v>979.48</v>
      </c>
      <c r="K101" s="2">
        <v>253.3</v>
      </c>
      <c r="L101" s="2">
        <v>39.75</v>
      </c>
      <c r="M101" s="2">
        <v>160.30000000000001</v>
      </c>
      <c r="N101" s="2">
        <v>500</v>
      </c>
      <c r="O101" s="2">
        <v>0</v>
      </c>
      <c r="P101" s="9"/>
      <c r="Q101" s="2">
        <f>SUM(OSRRefD21_19_3x)+IFERROR(SUM(OSRRefE21_19_3x),0)</f>
        <v>7767.2100000000009</v>
      </c>
    </row>
    <row r="102" spans="1:17" s="34" customFormat="1" hidden="1" outlineLevel="1" x14ac:dyDescent="0.25">
      <c r="A102" s="35"/>
      <c r="B102" s="10" t="str">
        <f>CONCATENATE("          ","6241", " - ","OFFICE EXPENSE")</f>
        <v xml:space="preserve">          6241 - OFFICE EXPENSE</v>
      </c>
      <c r="C102" s="11"/>
      <c r="D102" s="2">
        <v>-33.200000000000003</v>
      </c>
      <c r="E102" s="2">
        <v>-29035.16</v>
      </c>
      <c r="F102" s="2">
        <v>774.52</v>
      </c>
      <c r="G102" s="2">
        <v>525.44000000000005</v>
      </c>
      <c r="H102" s="2">
        <v>1207.05</v>
      </c>
      <c r="I102" s="2">
        <v>731.4</v>
      </c>
      <c r="J102" s="2">
        <v>1030.8499999999999</v>
      </c>
      <c r="K102" s="2">
        <v>1130.8499999999999</v>
      </c>
      <c r="L102" s="2">
        <v>1406.91</v>
      </c>
      <c r="M102" s="2">
        <v>1699</v>
      </c>
      <c r="N102" s="2">
        <v>275</v>
      </c>
      <c r="O102" s="2">
        <v>125</v>
      </c>
      <c r="P102" s="9"/>
      <c r="Q102" s="2">
        <f>SUM(OSRRefD21_19_4x)+IFERROR(SUM(OSRRefE21_19_4x),0)</f>
        <v>-20162.340000000004</v>
      </c>
    </row>
    <row r="103" spans="1:17" s="34" customFormat="1" hidden="1" outlineLevel="1" x14ac:dyDescent="0.25">
      <c r="A103" s="35"/>
      <c r="B103" s="10" t="str">
        <f>CONCATENATE("          ","6243", " - ","PAPER SUPPLIES")</f>
        <v xml:space="preserve">          6243 - PAPER SUPPLIES</v>
      </c>
      <c r="C103" s="11"/>
      <c r="D103" s="2">
        <v>647.88</v>
      </c>
      <c r="E103" s="2">
        <v>3012.29</v>
      </c>
      <c r="F103" s="2"/>
      <c r="G103" s="2">
        <v>2632.64</v>
      </c>
      <c r="H103" s="2">
        <v>5686.88</v>
      </c>
      <c r="I103" s="2">
        <v>3366.47</v>
      </c>
      <c r="J103" s="2">
        <v>1772.08</v>
      </c>
      <c r="K103" s="2">
        <v>7200.74</v>
      </c>
      <c r="L103" s="2">
        <v>4182.9799999999996</v>
      </c>
      <c r="M103" s="2">
        <v>7129.29</v>
      </c>
      <c r="N103" s="2">
        <v>250</v>
      </c>
      <c r="O103" s="2">
        <v>250</v>
      </c>
      <c r="P103" s="9"/>
      <c r="Q103" s="2">
        <f>SUM(OSRRefD21_19_5x)+IFERROR(SUM(OSRRefE21_19_5x),0)</f>
        <v>36131.249999999993</v>
      </c>
    </row>
    <row r="104" spans="1:17" s="34" customFormat="1" hidden="1" outlineLevel="1" x14ac:dyDescent="0.25">
      <c r="A104" s="35"/>
      <c r="B104" s="10" t="str">
        <f>CONCATENATE("          ","6244", " - ","SAFETY SUPPLY EXPENSE")</f>
        <v xml:space="preserve">          6244 - SAFETY SUPPLY EXPENSE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>
        <v>0</v>
      </c>
      <c r="O104" s="2">
        <v>0</v>
      </c>
      <c r="P104" s="9"/>
      <c r="Q104" s="2">
        <f>SUM(OSRRefD21_19_6x)+IFERROR(SUM(OSRRefE21_19_6x),0)</f>
        <v>0</v>
      </c>
    </row>
    <row r="105" spans="1:17" s="34" customFormat="1" hidden="1" outlineLevel="1" x14ac:dyDescent="0.25">
      <c r="A105" s="35"/>
      <c r="B105" s="10" t="str">
        <f>CONCATENATE("          ","6245", " - ","PRINTING")</f>
        <v xml:space="preserve">          6245 - PRINTING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>
        <v>0</v>
      </c>
      <c r="O105" s="2">
        <v>0</v>
      </c>
      <c r="P105" s="9"/>
      <c r="Q105" s="2">
        <f>SUM(OSRRefD21_19_7x)+IFERROR(SUM(OSRRefE21_19_7x),0)</f>
        <v>0</v>
      </c>
    </row>
    <row r="106" spans="1:17" s="34" customFormat="1" hidden="1" outlineLevel="1" x14ac:dyDescent="0.25">
      <c r="A106" s="35"/>
      <c r="B106" s="10" t="str">
        <f>CONCATENATE("          ","6246", " - ","REPLACEMENTS")</f>
        <v xml:space="preserve">          6246 - REPLACEMENTS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>
        <v>0</v>
      </c>
      <c r="O106" s="2">
        <v>0</v>
      </c>
      <c r="P106" s="9"/>
      <c r="Q106" s="2">
        <f>SUM(OSRRefD21_19_8x)+IFERROR(SUM(OSRRefE21_19_8x),0)</f>
        <v>0</v>
      </c>
    </row>
    <row r="107" spans="1:17" s="34" customFormat="1" hidden="1" outlineLevel="1" x14ac:dyDescent="0.25">
      <c r="A107" s="35"/>
      <c r="B107" s="10" t="str">
        <f>CONCATENATE("          ","6247", " - ","STORE SUPPLIES")</f>
        <v xml:space="preserve">          6247 - STORE SUPPLIES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>
        <v>18</v>
      </c>
      <c r="O107" s="2">
        <v>0</v>
      </c>
      <c r="P107" s="9"/>
      <c r="Q107" s="2">
        <f>SUM(OSRRefD21_19_9x)+IFERROR(SUM(OSRRefE21_19_9x),0)</f>
        <v>18</v>
      </c>
    </row>
    <row r="108" spans="1:17" s="34" customFormat="1" hidden="1" outlineLevel="1" x14ac:dyDescent="0.25">
      <c r="A108" s="35"/>
      <c r="B108" s="10" t="str">
        <f>CONCATENATE("          ","6248", " - ","UNIFORMS")</f>
        <v xml:space="preserve">          6248 - UNIFORMS</v>
      </c>
      <c r="C108" s="11"/>
      <c r="D108" s="2"/>
      <c r="E108" s="2">
        <v>3510.98</v>
      </c>
      <c r="F108" s="2">
        <v>303.7</v>
      </c>
      <c r="G108" s="2"/>
      <c r="H108" s="2">
        <v>685.91</v>
      </c>
      <c r="I108" s="2"/>
      <c r="J108" s="2"/>
      <c r="K108" s="2"/>
      <c r="L108" s="2"/>
      <c r="M108" s="2"/>
      <c r="N108" s="2">
        <v>350</v>
      </c>
      <c r="O108" s="2">
        <v>0</v>
      </c>
      <c r="P108" s="9"/>
      <c r="Q108" s="2">
        <f>SUM(OSRRefD21_19_10x)+IFERROR(SUM(OSRRefE21_19_10x),0)</f>
        <v>4850.59</v>
      </c>
    </row>
    <row r="109" spans="1:17" s="34" customFormat="1" collapsed="1" x14ac:dyDescent="0.25">
      <c r="A109" s="35"/>
      <c r="B109" s="11" t="str">
        <f>CONCATENATE("     ","Telephone/Data Lines                              ")</f>
        <v xml:space="preserve">     Telephone/Data Lines                              </v>
      </c>
      <c r="C109" s="11"/>
      <c r="D109" s="1">
        <f>SUM(OSRRefD21_20x_0)</f>
        <v>1836.32</v>
      </c>
      <c r="E109" s="1">
        <f>SUM(OSRRefD21_20x_1)</f>
        <v>1861.46</v>
      </c>
      <c r="F109" s="1">
        <f>SUM(OSRRefD21_20x_2)</f>
        <v>1613.63</v>
      </c>
      <c r="G109" s="1">
        <f>SUM(OSRRefD21_20x_3)</f>
        <v>911.98</v>
      </c>
      <c r="H109" s="1">
        <f>SUM(OSRRefD21_20x_4)</f>
        <v>1120.0999999999999</v>
      </c>
      <c r="I109" s="1">
        <f>SUM(OSRRefD21_20x_5)</f>
        <v>1091.0999999999999</v>
      </c>
      <c r="J109" s="1">
        <f>SUM(OSRRefD21_20x_6)</f>
        <v>496</v>
      </c>
      <c r="K109" s="1">
        <f>SUM(OSRRefD21_20x_7)</f>
        <v>546.14</v>
      </c>
      <c r="L109" s="1">
        <f>SUM(OSRRefD21_20x_8)</f>
        <v>648</v>
      </c>
      <c r="M109" s="1">
        <f>SUM(OSRRefD21_20x_9)</f>
        <v>496.6</v>
      </c>
      <c r="N109" s="1">
        <f>SUM(OSRRefE21_20x_0)</f>
        <v>960</v>
      </c>
      <c r="O109" s="1">
        <f>SUM(OSRRefE21_20x_1)</f>
        <v>1110</v>
      </c>
      <c r="Q109" s="2">
        <f>SUM(OSRRefD20_20x)+IFERROR(SUM(OSRRefE20_20x),0)</f>
        <v>12691.33</v>
      </c>
    </row>
    <row r="110" spans="1:17" s="34" customFormat="1" hidden="1" outlineLevel="1" x14ac:dyDescent="0.25">
      <c r="A110" s="35"/>
      <c r="B110" s="10" t="str">
        <f>CONCATENATE("          ","6303", " - ","DATA PHONE LINES")</f>
        <v xml:space="preserve">          6303 - DATA PHONE LINES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>
        <v>635</v>
      </c>
      <c r="O110" s="2">
        <v>635</v>
      </c>
      <c r="P110" s="9"/>
      <c r="Q110" s="2">
        <f>SUM(OSRRefD21_20_0x)+IFERROR(SUM(OSRRefE21_20_0x),0)</f>
        <v>1270</v>
      </c>
    </row>
    <row r="111" spans="1:17" s="34" customFormat="1" hidden="1" outlineLevel="1" x14ac:dyDescent="0.25">
      <c r="A111" s="35"/>
      <c r="B111" s="10" t="str">
        <f>CONCATENATE("          ","6309", " - ","TELEPHONE")</f>
        <v xml:space="preserve">          6309 - TELEPHONE</v>
      </c>
      <c r="C111" s="11"/>
      <c r="D111" s="2">
        <v>1836.32</v>
      </c>
      <c r="E111" s="2">
        <v>1861.46</v>
      </c>
      <c r="F111" s="2">
        <v>1613.63</v>
      </c>
      <c r="G111" s="2">
        <v>911.98</v>
      </c>
      <c r="H111" s="2">
        <v>1120.0999999999999</v>
      </c>
      <c r="I111" s="2">
        <v>1091.0999999999999</v>
      </c>
      <c r="J111" s="2">
        <v>496</v>
      </c>
      <c r="K111" s="2">
        <v>546.14</v>
      </c>
      <c r="L111" s="2">
        <v>648</v>
      </c>
      <c r="M111" s="2">
        <v>496.6</v>
      </c>
      <c r="N111" s="2">
        <v>325</v>
      </c>
      <c r="O111" s="2">
        <v>475</v>
      </c>
      <c r="P111" s="9"/>
      <c r="Q111" s="2">
        <f>SUM(OSRRefD21_20_1x)+IFERROR(SUM(OSRRefE21_20_1x),0)</f>
        <v>11421.33</v>
      </c>
    </row>
    <row r="112" spans="1:17" s="34" customFormat="1" collapsed="1" x14ac:dyDescent="0.25">
      <c r="A112" s="35"/>
      <c r="B112" s="11" t="str">
        <f>CONCATENATE("     ","Training                                          ")</f>
        <v xml:space="preserve">     Training                                          </v>
      </c>
      <c r="C112" s="11"/>
      <c r="D112" s="1">
        <f>SUM(OSRRefD21_21x_0)</f>
        <v>0</v>
      </c>
      <c r="E112" s="1">
        <f>SUM(OSRRefD21_21x_1)</f>
        <v>350</v>
      </c>
      <c r="F112" s="1">
        <f>SUM(OSRRefD21_21x_2)</f>
        <v>0</v>
      </c>
      <c r="G112" s="1">
        <f>SUM(OSRRefD21_21x_3)</f>
        <v>385</v>
      </c>
      <c r="H112" s="1">
        <f>SUM(OSRRefD21_21x_4)</f>
        <v>400</v>
      </c>
      <c r="I112" s="1">
        <f>SUM(OSRRefD21_21x_5)</f>
        <v>0</v>
      </c>
      <c r="J112" s="1">
        <f>SUM(OSRRefD21_21x_6)</f>
        <v>0</v>
      </c>
      <c r="K112" s="1">
        <f>SUM(OSRRefD21_21x_7)</f>
        <v>0</v>
      </c>
      <c r="L112" s="1">
        <f>SUM(OSRRefD21_21x_8)</f>
        <v>51.23</v>
      </c>
      <c r="M112" s="1">
        <f>SUM(OSRRefD21_21x_9)</f>
        <v>0</v>
      </c>
      <c r="N112" s="1">
        <f>SUM(OSRRefE21_21x_0)</f>
        <v>550</v>
      </c>
      <c r="O112" s="1">
        <f>SUM(OSRRefE21_21x_1)</f>
        <v>550</v>
      </c>
      <c r="Q112" s="2">
        <f>SUM(OSRRefD20_21x)+IFERROR(SUM(OSRRefE20_21x),0)</f>
        <v>2286.23</v>
      </c>
    </row>
    <row r="113" spans="1:17" s="34" customFormat="1" hidden="1" outlineLevel="1" x14ac:dyDescent="0.25">
      <c r="A113" s="35"/>
      <c r="B113" s="10" t="str">
        <f>CONCATENATE("          ","6376", " - ","TRAINING")</f>
        <v xml:space="preserve">          6376 - TRAINING</v>
      </c>
      <c r="C113" s="11"/>
      <c r="D113" s="2"/>
      <c r="E113" s="2">
        <v>350</v>
      </c>
      <c r="F113" s="2"/>
      <c r="G113" s="2">
        <v>385</v>
      </c>
      <c r="H113" s="2">
        <v>400</v>
      </c>
      <c r="I113" s="2"/>
      <c r="J113" s="2"/>
      <c r="K113" s="2"/>
      <c r="L113" s="2">
        <v>51.23</v>
      </c>
      <c r="M113" s="2"/>
      <c r="N113" s="2">
        <v>550</v>
      </c>
      <c r="O113" s="2">
        <v>550</v>
      </c>
      <c r="P113" s="9"/>
      <c r="Q113" s="2">
        <f>SUM(OSRRefD21_21_0x)+IFERROR(SUM(OSRRefE21_21_0x),0)</f>
        <v>2286.23</v>
      </c>
    </row>
    <row r="114" spans="1:17" s="34" customFormat="1" collapsed="1" x14ac:dyDescent="0.25">
      <c r="A114" s="35"/>
      <c r="B114" s="11" t="str">
        <f>CONCATENATE("     ","Travel                                            ")</f>
        <v xml:space="preserve">     Travel                                            </v>
      </c>
      <c r="C114" s="11"/>
      <c r="D114" s="1">
        <f>SUM(OSRRefD21_22x_0)</f>
        <v>179.69</v>
      </c>
      <c r="E114" s="1">
        <f>SUM(OSRRefD21_22x_1)</f>
        <v>0</v>
      </c>
      <c r="F114" s="1">
        <f>SUM(OSRRefD21_22x_2)</f>
        <v>152.52000000000001</v>
      </c>
      <c r="G114" s="1">
        <f>SUM(OSRRefD21_22x_3)</f>
        <v>0</v>
      </c>
      <c r="H114" s="1">
        <f>SUM(OSRRefD21_22x_4)</f>
        <v>0</v>
      </c>
      <c r="I114" s="1">
        <f>SUM(OSRRefD21_22x_5)</f>
        <v>0</v>
      </c>
      <c r="J114" s="1">
        <f>SUM(OSRRefD21_22x_6)</f>
        <v>0</v>
      </c>
      <c r="K114" s="1">
        <f>SUM(OSRRefD21_22x_7)</f>
        <v>0</v>
      </c>
      <c r="L114" s="1">
        <f>SUM(OSRRefD21_22x_8)</f>
        <v>0</v>
      </c>
      <c r="M114" s="1">
        <f>SUM(OSRRefD21_22x_9)</f>
        <v>160.30000000000001</v>
      </c>
      <c r="N114" s="1">
        <f>SUM(OSRRefE21_22x_0)</f>
        <v>300</v>
      </c>
      <c r="O114" s="1">
        <f>SUM(OSRRefE21_22x_1)</f>
        <v>300</v>
      </c>
      <c r="Q114" s="2">
        <f>SUM(OSRRefD20_22x)+IFERROR(SUM(OSRRefE20_22x),0)</f>
        <v>1092.51</v>
      </c>
    </row>
    <row r="115" spans="1:17" s="34" customFormat="1" hidden="1" outlineLevel="1" x14ac:dyDescent="0.25">
      <c r="A115" s="35"/>
      <c r="B115" s="10" t="str">
        <f>CONCATENATE("          ","6292", " - ","TRAVEL/CONFERENCE")</f>
        <v xml:space="preserve">          6292 - TRAVEL/CONFERENCE</v>
      </c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>
        <v>300</v>
      </c>
      <c r="O115" s="2">
        <v>300</v>
      </c>
      <c r="P115" s="9"/>
      <c r="Q115" s="2">
        <f>SUM(OSRRefD21_22_0x)+IFERROR(SUM(OSRRefE21_22_0x),0)</f>
        <v>600</v>
      </c>
    </row>
    <row r="116" spans="1:17" s="34" customFormat="1" hidden="1" outlineLevel="1" x14ac:dyDescent="0.25">
      <c r="A116" s="35"/>
      <c r="B116" s="10" t="str">
        <f>CONCATENATE("          ","6294", " - ","TRAVEL OPERATIONAL")</f>
        <v xml:space="preserve">          6294 - TRAVEL OPERATIONAL</v>
      </c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>
        <v>160.30000000000001</v>
      </c>
      <c r="N116" s="2"/>
      <c r="O116" s="2"/>
      <c r="P116" s="9"/>
      <c r="Q116" s="2">
        <f>SUM(OSRRefD21_22_1x)+IFERROR(SUM(OSRRefE21_22_1x),0)</f>
        <v>160.30000000000001</v>
      </c>
    </row>
    <row r="117" spans="1:17" s="34" customFormat="1" hidden="1" outlineLevel="1" x14ac:dyDescent="0.25">
      <c r="A117" s="35"/>
      <c r="B117" s="10" t="str">
        <f>CONCATENATE("          ","6298", " - ","VEHICLE MILEAGE")</f>
        <v xml:space="preserve">          6298 - VEHICLE MILEAGE</v>
      </c>
      <c r="C117" s="11"/>
      <c r="D117" s="2">
        <v>179.69</v>
      </c>
      <c r="E117" s="2"/>
      <c r="F117" s="2">
        <v>152.52000000000001</v>
      </c>
      <c r="G117" s="2"/>
      <c r="H117" s="2"/>
      <c r="I117" s="2"/>
      <c r="J117" s="2"/>
      <c r="K117" s="2"/>
      <c r="L117" s="2"/>
      <c r="M117" s="2"/>
      <c r="N117" s="2"/>
      <c r="O117" s="2"/>
      <c r="P117" s="9"/>
      <c r="Q117" s="2">
        <f>SUM(OSRRefD21_22_2x)+IFERROR(SUM(OSRRefE21_22_2x),0)</f>
        <v>332.21000000000004</v>
      </c>
    </row>
    <row r="118" spans="1:17" s="34" customFormat="1" collapsed="1" x14ac:dyDescent="0.25">
      <c r="A118" s="35"/>
      <c r="B118" s="11" t="str">
        <f>CONCATENATE("     ","Utilities                                         ")</f>
        <v xml:space="preserve">     Utilities                                         </v>
      </c>
      <c r="C118" s="11"/>
      <c r="D118" s="1">
        <f>SUM(OSRRefD21_23x_0)</f>
        <v>2300</v>
      </c>
      <c r="E118" s="1">
        <f>SUM(OSRRefD21_23x_1)</f>
        <v>2300</v>
      </c>
      <c r="F118" s="1">
        <f>SUM(OSRRefD21_23x_2)</f>
        <v>2300</v>
      </c>
      <c r="G118" s="1">
        <f>SUM(OSRRefD21_23x_3)</f>
        <v>-13228</v>
      </c>
      <c r="H118" s="1">
        <f>SUM(OSRRefD21_23x_4)</f>
        <v>3660</v>
      </c>
      <c r="I118" s="1">
        <f>SUM(OSRRefD21_23x_5)</f>
        <v>3660</v>
      </c>
      <c r="J118" s="1">
        <f>SUM(OSRRefD21_23x_6)</f>
        <v>3660</v>
      </c>
      <c r="K118" s="1">
        <f>SUM(OSRRefD21_23x_7)</f>
        <v>3660</v>
      </c>
      <c r="L118" s="1">
        <f>SUM(OSRRefD21_23x_8)</f>
        <v>-9772</v>
      </c>
      <c r="M118" s="1">
        <f>SUM(OSRRefD21_23x_9)</f>
        <v>3648</v>
      </c>
      <c r="N118" s="1">
        <f>SUM(OSRRefE21_23x_0)</f>
        <v>3300</v>
      </c>
      <c r="O118" s="1">
        <f>SUM(OSRRefE21_23x_1)</f>
        <v>3300</v>
      </c>
      <c r="Q118" s="2">
        <f>SUM(OSRRefD20_23x)+IFERROR(SUM(OSRRefE20_23x),0)</f>
        <v>8788</v>
      </c>
    </row>
    <row r="119" spans="1:17" s="34" customFormat="1" hidden="1" outlineLevel="1" x14ac:dyDescent="0.25">
      <c r="A119" s="35"/>
      <c r="B119" s="10" t="str">
        <f>CONCATENATE("          ","6274", " - ","UTILITIES")</f>
        <v xml:space="preserve">          6274 - UTILITIES</v>
      </c>
      <c r="C119" s="11"/>
      <c r="D119" s="2">
        <v>2300</v>
      </c>
      <c r="E119" s="2">
        <v>2300</v>
      </c>
      <c r="F119" s="2">
        <v>2300</v>
      </c>
      <c r="G119" s="2">
        <v>-13228</v>
      </c>
      <c r="H119" s="2">
        <v>3660</v>
      </c>
      <c r="I119" s="2">
        <v>3660</v>
      </c>
      <c r="J119" s="2">
        <v>3660</v>
      </c>
      <c r="K119" s="2">
        <v>3660</v>
      </c>
      <c r="L119" s="2">
        <v>-9772</v>
      </c>
      <c r="M119" s="2">
        <v>3648</v>
      </c>
      <c r="N119" s="2">
        <v>3300</v>
      </c>
      <c r="O119" s="2">
        <v>3300</v>
      </c>
      <c r="P119" s="9"/>
      <c r="Q119" s="2">
        <f>SUM(OSRRefD21_23_0x)+IFERROR(SUM(OSRRefE21_23_0x),0)</f>
        <v>8788</v>
      </c>
    </row>
    <row r="120" spans="1:17" s="30" customFormat="1" x14ac:dyDescent="0.25">
      <c r="A120" s="21"/>
      <c r="B120" s="21"/>
      <c r="C120" s="2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</row>
    <row r="121" spans="1:17" s="9" customFormat="1" x14ac:dyDescent="0.25">
      <c r="A121" s="23"/>
      <c r="B121" s="16" t="s">
        <v>291</v>
      </c>
      <c r="C121" s="22"/>
      <c r="D121" s="3">
        <f>--2076.54</f>
        <v>2076.54</v>
      </c>
      <c r="E121" s="3">
        <f>--737.85</f>
        <v>737.85</v>
      </c>
      <c r="F121" s="3">
        <f>--805.53</f>
        <v>805.53</v>
      </c>
      <c r="G121" s="3">
        <f>--457.28</f>
        <v>457.28</v>
      </c>
      <c r="H121" s="3">
        <f>--173.47</f>
        <v>173.47</v>
      </c>
      <c r="I121" s="3">
        <f>--11120.8</f>
        <v>11120.8</v>
      </c>
      <c r="J121" s="3">
        <f>--976.87</f>
        <v>976.87</v>
      </c>
      <c r="K121" s="3">
        <f>--1400.88</f>
        <v>1400.88</v>
      </c>
      <c r="L121" s="3">
        <f>--3116.44</f>
        <v>3116.44</v>
      </c>
      <c r="M121" s="3">
        <f>--1579.74</f>
        <v>1579.74</v>
      </c>
      <c r="N121" s="3">
        <v>0</v>
      </c>
      <c r="O121" s="3">
        <v>12000</v>
      </c>
      <c r="Q121" s="2">
        <f>SUM(OSRRefD23_0x)+IFERROR(SUM(OSRRefE23_0x),0)</f>
        <v>34445.4</v>
      </c>
    </row>
    <row r="122" spans="1:17" x14ac:dyDescent="0.25">
      <c r="A122" s="5"/>
      <c r="B122" s="6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x14ac:dyDescent="0.25">
      <c r="A123" s="6"/>
      <c r="B123" s="17" t="s">
        <v>274</v>
      </c>
      <c r="C123" s="17"/>
      <c r="D123" s="8">
        <f t="shared" ref="D123:O123" si="10">IFERROR(+D26-D29+D121, 0)</f>
        <v>-302405.39999999997</v>
      </c>
      <c r="E123" s="8">
        <f t="shared" si="10"/>
        <v>-277962.57999999996</v>
      </c>
      <c r="F123" s="8">
        <f t="shared" si="10"/>
        <v>-173263.55000000019</v>
      </c>
      <c r="G123" s="8">
        <f t="shared" si="10"/>
        <v>-288735.78000000003</v>
      </c>
      <c r="H123" s="8">
        <f t="shared" si="10"/>
        <v>-225052.62999999995</v>
      </c>
      <c r="I123" s="8">
        <f t="shared" si="10"/>
        <v>-234522.99000000002</v>
      </c>
      <c r="J123" s="8">
        <f t="shared" si="10"/>
        <v>-205890.20000000007</v>
      </c>
      <c r="K123" s="8">
        <f t="shared" si="10"/>
        <v>-221325.28000000006</v>
      </c>
      <c r="L123" s="8">
        <f t="shared" si="10"/>
        <v>-207630.98</v>
      </c>
      <c r="M123" s="8">
        <f t="shared" si="10"/>
        <v>-253588.08000000002</v>
      </c>
      <c r="N123" s="8">
        <f t="shared" si="10"/>
        <v>-291428.99930360314</v>
      </c>
      <c r="O123" s="8">
        <f t="shared" si="10"/>
        <v>-296270.39048037236</v>
      </c>
      <c r="Q123" s="8">
        <f>IFERROR(+Q26-Q29+Q121, 0)</f>
        <v>-2978076.8597839754</v>
      </c>
    </row>
    <row r="124" spans="1:17" s="6" customFormat="1" x14ac:dyDescent="0.25">
      <c r="B124" s="16"/>
      <c r="C124" s="16"/>
      <c r="D124" s="4">
        <f t="shared" ref="D124:O124" si="11">IFERROR(D123/D10, 0)</f>
        <v>-14.894741274984817</v>
      </c>
      <c r="E124" s="4">
        <f t="shared" si="11"/>
        <v>-5.0958343828865438</v>
      </c>
      <c r="F124" s="4">
        <f t="shared" si="11"/>
        <v>-0.74995272312833128</v>
      </c>
      <c r="G124" s="4">
        <f t="shared" si="11"/>
        <v>-1.4756132362918877</v>
      </c>
      <c r="H124" s="4">
        <f t="shared" si="11"/>
        <v>-1.3091249743398794</v>
      </c>
      <c r="I124" s="4">
        <f t="shared" si="11"/>
        <v>-1.4914123104049102</v>
      </c>
      <c r="J124" s="4">
        <f t="shared" si="11"/>
        <v>-1.7111229365297762</v>
      </c>
      <c r="K124" s="4">
        <f t="shared" si="11"/>
        <v>-1.6440338601093678</v>
      </c>
      <c r="L124" s="4">
        <f t="shared" si="11"/>
        <v>-1.392924102397384</v>
      </c>
      <c r="M124" s="4">
        <f t="shared" si="11"/>
        <v>-1.553342170321929</v>
      </c>
      <c r="N124" s="4">
        <f t="shared" si="11"/>
        <v>-3.3250690197339656</v>
      </c>
      <c r="O124" s="4">
        <f t="shared" si="11"/>
        <v>-53.867343723704067</v>
      </c>
      <c r="P124" s="18"/>
      <c r="Q124" s="4">
        <f>IFERROR(Q123/Q10, 0)</f>
        <v>-1.9972050847421658</v>
      </c>
    </row>
    <row r="125" spans="1:17" x14ac:dyDescent="0.25">
      <c r="A125" s="5"/>
      <c r="B125" s="6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x14ac:dyDescent="0.25">
      <c r="A126" s="25"/>
      <c r="B126" s="6" t="s">
        <v>125</v>
      </c>
      <c r="C126" s="6"/>
      <c r="D126" s="3">
        <v>9764.58</v>
      </c>
      <c r="E126" s="3">
        <v>2872.81</v>
      </c>
      <c r="F126" s="3">
        <v>44028.87</v>
      </c>
      <c r="G126" s="3">
        <v>51981.18</v>
      </c>
      <c r="H126" s="3">
        <v>-1633.85</v>
      </c>
      <c r="I126" s="3">
        <v>46686.05</v>
      </c>
      <c r="J126" s="3">
        <v>18939.02</v>
      </c>
      <c r="K126" s="3">
        <v>42361.22</v>
      </c>
      <c r="L126" s="3">
        <v>39466.06</v>
      </c>
      <c r="M126" s="3">
        <v>37996.35</v>
      </c>
      <c r="N126" s="3">
        <v>45180</v>
      </c>
      <c r="O126" s="3">
        <v>9604</v>
      </c>
      <c r="Q126" s="2">
        <f>SUM(OSRRefD28_0x)+IFERROR(SUM(OSRRefE28_0x),0)</f>
        <v>347246.29</v>
      </c>
    </row>
    <row r="127" spans="1:17" x14ac:dyDescent="0.25">
      <c r="A127" s="5"/>
      <c r="B127" s="6"/>
      <c r="C127" s="6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s="15" customFormat="1" ht="15.75" thickBot="1" x14ac:dyDescent="0.3">
      <c r="A128" s="6"/>
      <c r="B128" s="17" t="s">
        <v>124</v>
      </c>
      <c r="C128" s="17"/>
      <c r="D128" s="7">
        <f t="shared" ref="D128:O128" si="12">IFERROR(+D123-D126, 0)</f>
        <v>-312169.98</v>
      </c>
      <c r="E128" s="7">
        <f t="shared" si="12"/>
        <v>-280835.38999999996</v>
      </c>
      <c r="F128" s="7">
        <f t="shared" si="12"/>
        <v>-217292.42000000019</v>
      </c>
      <c r="G128" s="7">
        <f t="shared" si="12"/>
        <v>-340716.96</v>
      </c>
      <c r="H128" s="7">
        <f t="shared" si="12"/>
        <v>-223418.77999999994</v>
      </c>
      <c r="I128" s="7">
        <f t="shared" si="12"/>
        <v>-281209.04000000004</v>
      </c>
      <c r="J128" s="7">
        <f t="shared" si="12"/>
        <v>-224829.22000000006</v>
      </c>
      <c r="K128" s="7">
        <f t="shared" si="12"/>
        <v>-263686.50000000006</v>
      </c>
      <c r="L128" s="7">
        <f t="shared" si="12"/>
        <v>-247097.04</v>
      </c>
      <c r="M128" s="7">
        <f t="shared" si="12"/>
        <v>-291584.43</v>
      </c>
      <c r="N128" s="7">
        <f t="shared" si="12"/>
        <v>-336608.99930360314</v>
      </c>
      <c r="O128" s="7">
        <f t="shared" si="12"/>
        <v>-305874.39048037236</v>
      </c>
      <c r="Q128" s="7">
        <f>IFERROR(+Q123-Q126, 0)</f>
        <v>-3325323.1497839754</v>
      </c>
    </row>
    <row r="129" spans="1:17" ht="15.75" thickTop="1" x14ac:dyDescent="0.25">
      <c r="A129" s="5"/>
      <c r="B129" s="5"/>
      <c r="C129" s="5"/>
      <c r="D129" s="4">
        <f t="shared" ref="D129:O129" si="13">IFERROR(D128/D10, 0)</f>
        <v>-15.37568801984748</v>
      </c>
      <c r="E129" s="4">
        <f t="shared" si="13"/>
        <v>-5.1485010546863963</v>
      </c>
      <c r="F129" s="4">
        <f t="shared" si="13"/>
        <v>-0.94052697231555649</v>
      </c>
      <c r="G129" s="4">
        <f t="shared" si="13"/>
        <v>-1.7412682834290008</v>
      </c>
      <c r="H129" s="4">
        <f t="shared" si="13"/>
        <v>-1.2996209137149259</v>
      </c>
      <c r="I129" s="4">
        <f t="shared" si="13"/>
        <v>-1.7883049506282809</v>
      </c>
      <c r="J129" s="4">
        <f t="shared" si="13"/>
        <v>-1.8685223247347327</v>
      </c>
      <c r="K129" s="4">
        <f t="shared" si="13"/>
        <v>-1.9586986830141084</v>
      </c>
      <c r="L129" s="4">
        <f t="shared" si="13"/>
        <v>-1.6576881862574191</v>
      </c>
      <c r="M129" s="4">
        <f t="shared" si="13"/>
        <v>-1.7860870721063962</v>
      </c>
      <c r="N129" s="4">
        <f t="shared" si="13"/>
        <v>-3.8405517571093162</v>
      </c>
      <c r="O129" s="4">
        <f t="shared" si="13"/>
        <v>-55.613525541885885</v>
      </c>
      <c r="P129" s="18"/>
      <c r="Q129" s="4">
        <f>IFERROR(Q128/Q10, 0)</f>
        <v>-2.2300808930905638</v>
      </c>
    </row>
    <row r="130" spans="1:17" x14ac:dyDescent="0.25">
      <c r="A130" s="5"/>
      <c r="B130" s="5"/>
      <c r="C130" s="5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Q130" s="3"/>
    </row>
    <row r="131" spans="1:17" x14ac:dyDescent="0.25">
      <c r="A131" s="5"/>
      <c r="B131" s="5"/>
      <c r="C131" s="5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Q131" s="3"/>
    </row>
    <row r="132" spans="1:17" s="15" customFormat="1" ht="15.75" thickBot="1" x14ac:dyDescent="0.3">
      <c r="A132" s="6"/>
      <c r="B132" s="17" t="s">
        <v>292</v>
      </c>
      <c r="C132" s="17"/>
      <c r="D132" s="7">
        <f t="shared" ref="D132:O132" si="14">IFERROR(SUM(D128:D131), 0)</f>
        <v>-312185.35568801983</v>
      </c>
      <c r="E132" s="7">
        <f t="shared" si="14"/>
        <v>-280840.53850105463</v>
      </c>
      <c r="F132" s="7">
        <f t="shared" si="14"/>
        <v>-217293.36052697251</v>
      </c>
      <c r="G132" s="7">
        <f t="shared" si="14"/>
        <v>-340718.70126828348</v>
      </c>
      <c r="H132" s="7">
        <f t="shared" si="14"/>
        <v>-223420.07962091366</v>
      </c>
      <c r="I132" s="7">
        <f t="shared" si="14"/>
        <v>-281210.82830495067</v>
      </c>
      <c r="J132" s="7">
        <f t="shared" si="14"/>
        <v>-224831.0885223248</v>
      </c>
      <c r="K132" s="7">
        <f t="shared" si="14"/>
        <v>-263688.45869868307</v>
      </c>
      <c r="L132" s="7">
        <f t="shared" si="14"/>
        <v>-247098.69768818628</v>
      </c>
      <c r="M132" s="7">
        <f t="shared" si="14"/>
        <v>-291586.2160870721</v>
      </c>
      <c r="N132" s="7">
        <f t="shared" si="14"/>
        <v>-336612.83985536027</v>
      </c>
      <c r="O132" s="7">
        <f t="shared" si="14"/>
        <v>-305930.00400591426</v>
      </c>
      <c r="Q132" s="7">
        <f>IFERROR(SUM(Q128:Q131), 0)</f>
        <v>-3325325.3798648687</v>
      </c>
    </row>
    <row r="133" spans="1:17" ht="15.75" thickTop="1" x14ac:dyDescent="0.25">
      <c r="A133" s="5"/>
      <c r="C133" s="5"/>
      <c r="D133" s="4">
        <f t="shared" ref="D133:O133" si="15">IFERROR(D132/D10, 0)</f>
        <v>-15.376445337325872</v>
      </c>
      <c r="E133" s="4">
        <f t="shared" si="15"/>
        <v>-5.1485954411635069</v>
      </c>
      <c r="F133" s="4">
        <f t="shared" si="15"/>
        <v>-0.94053104328584469</v>
      </c>
      <c r="G133" s="4">
        <f t="shared" si="15"/>
        <v>-1.7412771823556492</v>
      </c>
      <c r="H133" s="4">
        <f t="shared" si="15"/>
        <v>-1.2996284735741257</v>
      </c>
      <c r="I133" s="4">
        <f t="shared" si="15"/>
        <v>-1.7883163230741896</v>
      </c>
      <c r="J133" s="4">
        <f t="shared" si="15"/>
        <v>-1.8685378537468338</v>
      </c>
      <c r="K133" s="4">
        <f t="shared" si="15"/>
        <v>-1.9587132324905923</v>
      </c>
      <c r="L133" s="4">
        <f t="shared" si="15"/>
        <v>-1.6576993071114887</v>
      </c>
      <c r="M133" s="4">
        <f t="shared" si="15"/>
        <v>-1.786098012700958</v>
      </c>
      <c r="N133" s="4">
        <f t="shared" si="15"/>
        <v>-3.8405955760144246</v>
      </c>
      <c r="O133" s="4">
        <f t="shared" si="15"/>
        <v>-55.623637091984413</v>
      </c>
      <c r="P133" s="18"/>
      <c r="Q133" s="4">
        <f>IFERROR(Q132/Q10, 0)</f>
        <v>-2.2300823886627432</v>
      </c>
    </row>
    <row r="134" spans="1:17" x14ac:dyDescent="0.25">
      <c r="A134" s="5"/>
      <c r="B134" s="27">
        <v>44330.012718865742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Q134" s="13"/>
    </row>
    <row r="135" spans="1:17" x14ac:dyDescent="0.25">
      <c r="A135" s="5"/>
      <c r="B135" s="31" t="s">
        <v>54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Q135" s="13"/>
    </row>
    <row r="136" spans="1:17" x14ac:dyDescent="0.25">
      <c r="A136" s="5"/>
      <c r="B136" s="26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Q136" s="13"/>
    </row>
    <row r="137" spans="1:17" x14ac:dyDescent="0.25"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Q1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53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50114.95</v>
      </c>
      <c r="L10" s="3">
        <f>SUM(OSRRefD11x_8)</f>
        <v>57365.04</v>
      </c>
      <c r="M10" s="3">
        <f>SUM(OSRRefD11x_9)</f>
        <v>73139.31</v>
      </c>
      <c r="N10" s="3">
        <f>SUM(OSRRefE11x_0)</f>
        <v>6031</v>
      </c>
      <c r="O10" s="3">
        <f>SUM(OSRRefE11x_1)</f>
        <v>5651</v>
      </c>
      <c r="P10" s="24"/>
      <c r="Q10" s="3">
        <f>SUM(OSRRefG11x)</f>
        <v>471175.23000000004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5" si="0">0</f>
        <v>0</v>
      </c>
      <c r="E11" s="2">
        <f t="shared" ref="E11:M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1648</v>
      </c>
      <c r="O11" s="2">
        <v>1711</v>
      </c>
      <c r="Q11" s="2">
        <f>SUM(OSRRefD11_0x)+IFERROR(SUM(OSRRefE11_0x),0)</f>
        <v>3359</v>
      </c>
    </row>
    <row r="12" spans="1:18" s="9" customFormat="1" hidden="1" outlineLevel="1" x14ac:dyDescent="0.25">
      <c r="A12" s="23"/>
      <c r="B12" s="10" t="str">
        <f>CONCATENATE("          ","4032", " - ","TAXABLE SALES-JUICE")</f>
        <v xml:space="preserve">          4032 - TAXABLE SALES-JUICE</v>
      </c>
      <c r="C12" s="22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M13" si="2">0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25">
      <c r="A13" s="23"/>
      <c r="B13" s="10" t="str">
        <f>CONCATENATE("          ","4034", " - ","TAXABLE SALES-SODA")</f>
        <v xml:space="preserve">          4034 - TAXABLE SALES-SODA</v>
      </c>
      <c r="C13" s="22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f t="shared" si="2"/>
        <v>0</v>
      </c>
      <c r="K13" s="2">
        <f t="shared" si="2"/>
        <v>0</v>
      </c>
      <c r="L13" s="2">
        <f t="shared" si="2"/>
        <v>0</v>
      </c>
      <c r="M13" s="2">
        <f t="shared" si="2"/>
        <v>0</v>
      </c>
      <c r="N13" s="2"/>
      <c r="O13" s="2"/>
      <c r="Q13" s="2">
        <f>SUM(OSRRefD11_2x)+IFERROR(SUM(OSRRefE11_2x),0)</f>
        <v>0</v>
      </c>
    </row>
    <row r="14" spans="1:18" s="9" customFormat="1" hidden="1" outlineLevel="1" x14ac:dyDescent="0.25">
      <c r="A14" s="23"/>
      <c r="B14" s="10" t="str">
        <f>CONCATENATE("          ","4051", " - ","TAXABLE SALES-FOOD")</f>
        <v xml:space="preserve">          4051 - TAXABLE SALES-FOOD</v>
      </c>
      <c r="C14" s="22"/>
      <c r="D14" s="2">
        <f t="shared" si="0"/>
        <v>0</v>
      </c>
      <c r="E14" s="2">
        <f>--2510.72</f>
        <v>2510.7199999999998</v>
      </c>
      <c r="F14" s="2">
        <f>--4141.96</f>
        <v>4141.96</v>
      </c>
      <c r="G14" s="2">
        <f>--6097.26</f>
        <v>6097.26</v>
      </c>
      <c r="H14" s="2">
        <f>--4501.27</f>
        <v>4501.2700000000004</v>
      </c>
      <c r="I14" s="2">
        <f>--5713.27</f>
        <v>5713.27</v>
      </c>
      <c r="J14" s="2">
        <f t="shared" ref="J14:K14" si="4">0</f>
        <v>0</v>
      </c>
      <c r="K14" s="2">
        <f t="shared" si="4"/>
        <v>0</v>
      </c>
      <c r="L14" s="2">
        <f>--2604.58</f>
        <v>2604.58</v>
      </c>
      <c r="M14" s="2">
        <f>--6552.2</f>
        <v>6552.2</v>
      </c>
      <c r="N14" s="2"/>
      <c r="O14" s="2"/>
      <c r="Q14" s="2">
        <f>SUM(OSRRefD11_3x)+IFERROR(SUM(OSRRefE11_3x),0)</f>
        <v>32121.26</v>
      </c>
    </row>
    <row r="15" spans="1:18" s="9" customFormat="1" hidden="1" outlineLevel="1" x14ac:dyDescent="0.25">
      <c r="A15" s="23"/>
      <c r="B15" s="10" t="str">
        <f>CONCATENATE("          ","4052", " - ","TAXABLE SALES-FOOD")</f>
        <v xml:space="preserve">          4052 - TAXABLE SALES-FOOD</v>
      </c>
      <c r="C15" s="22"/>
      <c r="D15" s="2">
        <f t="shared" si="0"/>
        <v>0</v>
      </c>
      <c r="E15" s="2">
        <f t="shared" ref="E15:F17" si="5">0</f>
        <v>0</v>
      </c>
      <c r="F15" s="2">
        <f t="shared" si="5"/>
        <v>0</v>
      </c>
      <c r="G15" s="2">
        <f>--30231.29</f>
        <v>30231.29</v>
      </c>
      <c r="H15" s="2">
        <f>--55493.87</f>
        <v>55493.87</v>
      </c>
      <c r="I15" s="2">
        <f>--62378.23</f>
        <v>62378.23</v>
      </c>
      <c r="J15" s="2">
        <f>--82073.46</f>
        <v>82073.460000000006</v>
      </c>
      <c r="K15" s="2">
        <f>--49980.95</f>
        <v>49980.95</v>
      </c>
      <c r="L15" s="2">
        <f>--51782.31</f>
        <v>51782.31</v>
      </c>
      <c r="M15" s="2">
        <f>--48734.68</f>
        <v>48734.68</v>
      </c>
      <c r="N15" s="2"/>
      <c r="O15" s="2"/>
      <c r="Q15" s="2">
        <f>SUM(OSRRefD11_4x)+IFERROR(SUM(OSRRefE11_4x),0)</f>
        <v>380674.79000000004</v>
      </c>
    </row>
    <row r="16" spans="1:18" s="9" customFormat="1" hidden="1" outlineLevel="1" x14ac:dyDescent="0.25">
      <c r="A16" s="23"/>
      <c r="B16" s="10" t="str">
        <f>CONCATENATE("          ","4058", " - ","TAXABLE SALES-FOOD")</f>
        <v xml:space="preserve">          4058 - TAXABLE SALES-FOOD</v>
      </c>
      <c r="C16" s="22"/>
      <c r="D16" s="2">
        <f>--974.91</f>
        <v>974.91</v>
      </c>
      <c r="E16" s="2">
        <f t="shared" si="5"/>
        <v>0</v>
      </c>
      <c r="F16" s="2">
        <f t="shared" si="5"/>
        <v>0</v>
      </c>
      <c r="G16" s="2">
        <f t="shared" ref="G16:M20" si="6">0</f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f t="shared" si="6"/>
        <v>0</v>
      </c>
      <c r="N16" s="2"/>
      <c r="O16" s="2"/>
      <c r="Q16" s="2">
        <f>SUM(OSRRefD11_5x)+IFERROR(SUM(OSRRefE11_5x),0)</f>
        <v>974.91</v>
      </c>
    </row>
    <row r="17" spans="1:17" s="9" customFormat="1" hidden="1" outlineLevel="1" x14ac:dyDescent="0.25">
      <c r="A17" s="23"/>
      <c r="B17" s="10" t="str">
        <f>CONCATENATE("          ","4100", " - ","NON-TAXABLE SALES")</f>
        <v xml:space="preserve">          4100 - NON-TAXABLE SALES</v>
      </c>
      <c r="C17" s="22"/>
      <c r="D17" s="2">
        <f t="shared" ref="D17:D23" si="7">0</f>
        <v>0</v>
      </c>
      <c r="E17" s="2">
        <f t="shared" si="5"/>
        <v>0</v>
      </c>
      <c r="F17" s="2">
        <f t="shared" si="5"/>
        <v>0</v>
      </c>
      <c r="G17" s="2">
        <f t="shared" si="6"/>
        <v>0</v>
      </c>
      <c r="H17" s="2">
        <f t="shared" si="6"/>
        <v>0</v>
      </c>
      <c r="I17" s="2">
        <f t="shared" si="6"/>
        <v>0</v>
      </c>
      <c r="J17" s="2">
        <f t="shared" si="6"/>
        <v>0</v>
      </c>
      <c r="K17" s="2">
        <f t="shared" si="6"/>
        <v>0</v>
      </c>
      <c r="L17" s="2">
        <f t="shared" si="6"/>
        <v>0</v>
      </c>
      <c r="M17" s="2">
        <f t="shared" si="6"/>
        <v>0</v>
      </c>
      <c r="N17" s="2">
        <v>4383</v>
      </c>
      <c r="O17" s="2">
        <v>3940</v>
      </c>
      <c r="Q17" s="2">
        <f>SUM(OSRRefD11_6x)+IFERROR(SUM(OSRRefE11_6x),0)</f>
        <v>8323</v>
      </c>
    </row>
    <row r="18" spans="1:17" s="9" customFormat="1" hidden="1" outlineLevel="1" x14ac:dyDescent="0.25">
      <c r="A18" s="23"/>
      <c r="B18" s="10" t="str">
        <f>CONCATENATE("          ","4132", " - ","NON-TAXABLE SALES-JUICE")</f>
        <v xml:space="preserve">          4132 - NON-TAXABLE SALES-JUICE</v>
      </c>
      <c r="C18" s="22"/>
      <c r="D18" s="2">
        <f t="shared" si="7"/>
        <v>0</v>
      </c>
      <c r="E18" s="2">
        <f>--625.8</f>
        <v>625.79999999999995</v>
      </c>
      <c r="F18" s="2">
        <f>--1406.08</f>
        <v>1406.08</v>
      </c>
      <c r="G18" s="2">
        <f t="shared" si="6"/>
        <v>0</v>
      </c>
      <c r="H18" s="2">
        <f t="shared" si="6"/>
        <v>0</v>
      </c>
      <c r="I18" s="2">
        <f t="shared" si="6"/>
        <v>0</v>
      </c>
      <c r="J18" s="2">
        <f t="shared" si="6"/>
        <v>0</v>
      </c>
      <c r="K18" s="2">
        <f t="shared" si="6"/>
        <v>0</v>
      </c>
      <c r="L18" s="2">
        <f t="shared" si="6"/>
        <v>0</v>
      </c>
      <c r="M18" s="2">
        <f t="shared" si="6"/>
        <v>0</v>
      </c>
      <c r="N18" s="2"/>
      <c r="O18" s="2"/>
      <c r="Q18" s="2">
        <f>SUM(OSRRefD11_7x)+IFERROR(SUM(OSRRefE11_7x),0)</f>
        <v>2031.8799999999999</v>
      </c>
    </row>
    <row r="19" spans="1:17" s="9" customFormat="1" hidden="1" outlineLevel="1" x14ac:dyDescent="0.25">
      <c r="A19" s="23"/>
      <c r="B19" s="10" t="str">
        <f>CONCATENATE("          ","4134", " - ","NON-TAXABLE SALES-SODA")</f>
        <v xml:space="preserve">          4134 - NON-TAXABLE SALES-SODA</v>
      </c>
      <c r="C19" s="22"/>
      <c r="D19" s="2">
        <f t="shared" si="7"/>
        <v>0</v>
      </c>
      <c r="E19" s="2">
        <f t="shared" ref="E19:F20" si="8">0</f>
        <v>0</v>
      </c>
      <c r="F19" s="2">
        <f t="shared" si="8"/>
        <v>0</v>
      </c>
      <c r="G19" s="2">
        <f t="shared" si="6"/>
        <v>0</v>
      </c>
      <c r="H19" s="2">
        <f t="shared" si="6"/>
        <v>0</v>
      </c>
      <c r="I19" s="2">
        <f t="shared" si="6"/>
        <v>0</v>
      </c>
      <c r="J19" s="2">
        <f t="shared" si="6"/>
        <v>0</v>
      </c>
      <c r="K19" s="2">
        <f t="shared" si="6"/>
        <v>0</v>
      </c>
      <c r="L19" s="2">
        <f t="shared" si="6"/>
        <v>0</v>
      </c>
      <c r="M19" s="2">
        <f t="shared" si="6"/>
        <v>0</v>
      </c>
      <c r="N19" s="2"/>
      <c r="O19" s="2"/>
      <c r="Q19" s="2">
        <f>SUM(OSRRefD11_8x)+IFERROR(SUM(OSRRefE11_8x),0)</f>
        <v>0</v>
      </c>
    </row>
    <row r="20" spans="1:17" s="9" customFormat="1" hidden="1" outlineLevel="1" x14ac:dyDescent="0.25">
      <c r="A20" s="23"/>
      <c r="B20" s="10" t="str">
        <f>CONCATENATE("          ","4137", " - ","NON-TAXABLE SALES-WATER")</f>
        <v xml:space="preserve">          4137 - NON-TAXABLE SALES-WATER</v>
      </c>
      <c r="C20" s="22"/>
      <c r="D20" s="2">
        <f t="shared" si="7"/>
        <v>0</v>
      </c>
      <c r="E20" s="2">
        <f t="shared" si="8"/>
        <v>0</v>
      </c>
      <c r="F20" s="2">
        <f t="shared" si="8"/>
        <v>0</v>
      </c>
      <c r="G20" s="2">
        <f t="shared" si="6"/>
        <v>0</v>
      </c>
      <c r="H20" s="2">
        <f t="shared" si="6"/>
        <v>0</v>
      </c>
      <c r="I20" s="2">
        <f t="shared" si="6"/>
        <v>0</v>
      </c>
      <c r="J20" s="2">
        <f t="shared" si="6"/>
        <v>0</v>
      </c>
      <c r="K20" s="2">
        <f t="shared" si="6"/>
        <v>0</v>
      </c>
      <c r="L20" s="2">
        <f t="shared" si="6"/>
        <v>0</v>
      </c>
      <c r="M20" s="2">
        <f t="shared" si="6"/>
        <v>0</v>
      </c>
      <c r="N20" s="2"/>
      <c r="O20" s="2"/>
      <c r="Q20" s="2">
        <f>SUM(OSRRefD11_9x)+IFERROR(SUM(OSRRefE11_9x),0)</f>
        <v>0</v>
      </c>
    </row>
    <row r="21" spans="1:17" s="9" customFormat="1" hidden="1" outlineLevel="1" x14ac:dyDescent="0.25">
      <c r="A21" s="23"/>
      <c r="B21" s="10" t="str">
        <f>CONCATENATE("          ","4151", " - ","NON-TAXABLE SALES-FOOD")</f>
        <v xml:space="preserve">          4151 - NON-TAXABLE SALES-FOOD</v>
      </c>
      <c r="C21" s="22"/>
      <c r="D21" s="2">
        <f t="shared" si="7"/>
        <v>0</v>
      </c>
      <c r="E21" s="2">
        <f>--2208.22</f>
        <v>2208.2199999999998</v>
      </c>
      <c r="F21" s="2">
        <f>--4535.69</f>
        <v>4535.6899999999996</v>
      </c>
      <c r="G21" s="2">
        <f>--7192.35</f>
        <v>7192.35</v>
      </c>
      <c r="H21" s="2">
        <f>--4156.45</f>
        <v>4156.45</v>
      </c>
      <c r="I21" s="2">
        <f>--4078.51</f>
        <v>4078.51</v>
      </c>
      <c r="J21" s="2">
        <f t="shared" ref="J21:J23" si="9">0</f>
        <v>0</v>
      </c>
      <c r="K21" s="2">
        <f t="shared" ref="K21:K22" si="10">0</f>
        <v>0</v>
      </c>
      <c r="L21" s="2">
        <f>--2877.6</f>
        <v>2877.6</v>
      </c>
      <c r="M21" s="2">
        <f>--6219.58</f>
        <v>6219.58</v>
      </c>
      <c r="N21" s="2"/>
      <c r="O21" s="2"/>
      <c r="Q21" s="2">
        <f>SUM(OSRRefD11_10x)+IFERROR(SUM(OSRRefE11_10x),0)</f>
        <v>31268.400000000001</v>
      </c>
    </row>
    <row r="22" spans="1:17" s="9" customFormat="1" hidden="1" outlineLevel="1" x14ac:dyDescent="0.25">
      <c r="A22" s="23"/>
      <c r="B22" s="10" t="str">
        <f>CONCATENATE("          ","4152", " - ","NON-TAXABLE SALES-FOOD")</f>
        <v xml:space="preserve">          4152 - NON-TAXABLE SALES-FOOD</v>
      </c>
      <c r="C22" s="22"/>
      <c r="D22" s="2">
        <f t="shared" si="7"/>
        <v>0</v>
      </c>
      <c r="E22" s="2">
        <f t="shared" ref="E22:I22" si="11">0</f>
        <v>0</v>
      </c>
      <c r="F22" s="2">
        <f t="shared" si="11"/>
        <v>0</v>
      </c>
      <c r="G22" s="2">
        <f t="shared" si="11"/>
        <v>0</v>
      </c>
      <c r="H22" s="2">
        <f t="shared" si="11"/>
        <v>0</v>
      </c>
      <c r="I22" s="2">
        <f t="shared" si="11"/>
        <v>0</v>
      </c>
      <c r="J22" s="2">
        <f t="shared" si="9"/>
        <v>0</v>
      </c>
      <c r="K22" s="2">
        <f t="shared" si="10"/>
        <v>0</v>
      </c>
      <c r="L22" s="2">
        <f>0</f>
        <v>0</v>
      </c>
      <c r="M22" s="2">
        <f>--11580.95</f>
        <v>11580.95</v>
      </c>
      <c r="N22" s="2"/>
      <c r="O22" s="2"/>
      <c r="Q22" s="2">
        <f>SUM(OSRRefD11_11x)+IFERROR(SUM(OSRRefE11_11x),0)</f>
        <v>11580.95</v>
      </c>
    </row>
    <row r="23" spans="1:17" s="9" customFormat="1" hidden="1" outlineLevel="1" x14ac:dyDescent="0.25">
      <c r="A23" s="23"/>
      <c r="B23" s="10" t="str">
        <f>CONCATENATE("          ","4153", " - ","NON-TAXABLE SALES-FOOD")</f>
        <v xml:space="preserve">          4153 - NON-TAXABLE SALES-FOOD</v>
      </c>
      <c r="C23" s="22"/>
      <c r="D23" s="2">
        <f t="shared" si="7"/>
        <v>0</v>
      </c>
      <c r="E23" s="2">
        <f>--110</f>
        <v>110</v>
      </c>
      <c r="F23" s="2">
        <f t="shared" ref="F23:I23" si="12">0</f>
        <v>0</v>
      </c>
      <c r="G23" s="2">
        <f t="shared" si="12"/>
        <v>0</v>
      </c>
      <c r="H23" s="2">
        <f t="shared" si="12"/>
        <v>0</v>
      </c>
      <c r="I23" s="2">
        <f t="shared" si="12"/>
        <v>0</v>
      </c>
      <c r="J23" s="2">
        <f t="shared" si="9"/>
        <v>0</v>
      </c>
      <c r="K23" s="2">
        <f>--134</f>
        <v>134</v>
      </c>
      <c r="L23" s="2">
        <f>--100.55</f>
        <v>100.55</v>
      </c>
      <c r="M23" s="2">
        <f>--51.9</f>
        <v>51.9</v>
      </c>
      <c r="N23" s="2"/>
      <c r="O23" s="2"/>
      <c r="Q23" s="2">
        <f>SUM(OSRRefD11_12x)+IFERROR(SUM(OSRRefE11_12x),0)</f>
        <v>396.45</v>
      </c>
    </row>
    <row r="24" spans="1:17" x14ac:dyDescent="0.25">
      <c r="A24" s="5"/>
      <c r="B24" s="6"/>
      <c r="C24" s="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9" customFormat="1" collapsed="1" x14ac:dyDescent="0.25">
      <c r="A25" s="23"/>
      <c r="B25" s="16" t="s">
        <v>217</v>
      </c>
      <c r="C25" s="22"/>
      <c r="D25" s="3">
        <f>SUM(OSRRefD14x_0)</f>
        <v>-226.87</v>
      </c>
      <c r="E25" s="3">
        <f>SUM(OSRRefD14x_1)</f>
        <v>2203.17</v>
      </c>
      <c r="F25" s="3">
        <f>SUM(OSRRefD14x_2)</f>
        <v>1823.61</v>
      </c>
      <c r="G25" s="3">
        <f>SUM(OSRRefD14x_3)</f>
        <v>16854.900000000001</v>
      </c>
      <c r="H25" s="3">
        <f>SUM(OSRRefD14x_4)</f>
        <v>2843.9300000000003</v>
      </c>
      <c r="I25" s="3">
        <f>SUM(OSRRefD14x_5)</f>
        <v>4487.45</v>
      </c>
      <c r="J25" s="3">
        <f>SUM(OSRRefD14x_6)</f>
        <v>1062.1199999999999</v>
      </c>
      <c r="K25" s="3">
        <f>SUM(OSRRefD14x_7)</f>
        <v>14829.89</v>
      </c>
      <c r="L25" s="3">
        <f>SUM(OSRRefD14x_8)</f>
        <v>-6014.89</v>
      </c>
      <c r="M25" s="3">
        <f>SUM(OSRRefD14x_9)</f>
        <v>4076.83</v>
      </c>
      <c r="N25" s="3">
        <f>SUM(OSRRefE14x_0)</f>
        <v>2115</v>
      </c>
      <c r="O25" s="3">
        <f>SUM(OSRRefE14x_1)</f>
        <v>1505</v>
      </c>
      <c r="Q25" s="3">
        <f>SUM(OSRRefG14x)</f>
        <v>45560.140000000007</v>
      </c>
    </row>
    <row r="26" spans="1:17" s="9" customFormat="1" hidden="1" outlineLevel="1" x14ac:dyDescent="0.25">
      <c r="A26" s="23"/>
      <c r="B26" s="10" t="str">
        <f>CONCATENATE("          ","5000", " - ","PURCHASES @ COST")</f>
        <v xml:space="preserve">          5000 - PURCHASES @ COST</v>
      </c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2115</v>
      </c>
      <c r="O26" s="2">
        <v>1505</v>
      </c>
      <c r="Q26" s="2">
        <f>SUM(OSRRefD14_0x)+IFERROR(SUM(OSRRefE14_0x),0)</f>
        <v>3620</v>
      </c>
    </row>
    <row r="27" spans="1:17" s="9" customFormat="1" hidden="1" outlineLevel="1" x14ac:dyDescent="0.25">
      <c r="A27" s="23"/>
      <c r="B27" s="10" t="str">
        <f>CONCATENATE("          ","5053", " - ","PURCHASES @ COST-FOOD")</f>
        <v xml:space="preserve">          5053 - PURCHASES @ COST-FOOD</v>
      </c>
      <c r="C27" s="22"/>
      <c r="D27" s="2">
        <v>-226.87</v>
      </c>
      <c r="E27" s="2">
        <v>2089.2600000000002</v>
      </c>
      <c r="F27" s="2">
        <v>1282.55</v>
      </c>
      <c r="G27" s="2">
        <v>3628.9</v>
      </c>
      <c r="H27" s="2">
        <v>1847.93</v>
      </c>
      <c r="I27" s="2">
        <v>2122.4499999999998</v>
      </c>
      <c r="J27" s="2">
        <v>1277.0999999999999</v>
      </c>
      <c r="K27" s="2">
        <v>-4739.1099999999997</v>
      </c>
      <c r="L27" s="2">
        <v>-5534.89</v>
      </c>
      <c r="M27" s="2">
        <v>3918.82</v>
      </c>
      <c r="N27" s="2"/>
      <c r="O27" s="2"/>
      <c r="Q27" s="2">
        <f>SUM(OSRRefD14_1x)+IFERROR(SUM(OSRRefE14_1x),0)</f>
        <v>5666.1400000000012</v>
      </c>
    </row>
    <row r="28" spans="1:17" s="9" customFormat="1" hidden="1" outlineLevel="1" x14ac:dyDescent="0.25">
      <c r="A28" s="23"/>
      <c r="B28" s="10" t="str">
        <f>CONCATENATE("          ","5059", " - ","PURCHASES @ COST-FOOD")</f>
        <v xml:space="preserve">          5059 - PURCHASES @ COST-FOOD</v>
      </c>
      <c r="C28" s="22"/>
      <c r="D28" s="2"/>
      <c r="E28" s="2">
        <v>113.91</v>
      </c>
      <c r="F28" s="2">
        <v>541.05999999999995</v>
      </c>
      <c r="G28" s="2">
        <v>13226</v>
      </c>
      <c r="H28" s="2">
        <v>996</v>
      </c>
      <c r="I28" s="2">
        <v>2365</v>
      </c>
      <c r="J28" s="2">
        <v>-214.98</v>
      </c>
      <c r="K28" s="2">
        <v>19569</v>
      </c>
      <c r="L28" s="2">
        <v>-480</v>
      </c>
      <c r="M28" s="2">
        <v>158.01</v>
      </c>
      <c r="N28" s="2"/>
      <c r="O28" s="2"/>
      <c r="Q28" s="2">
        <f>SUM(OSRRefD14_2x)+IFERROR(SUM(OSRRefE14_2x),0)</f>
        <v>36274.000000000007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105</v>
      </c>
      <c r="C30" s="17"/>
      <c r="D30" s="8">
        <f t="shared" ref="D30:O30" si="13">IFERROR(+D10-D25, 0)</f>
        <v>1201.78</v>
      </c>
      <c r="E30" s="8">
        <f t="shared" si="13"/>
        <v>3339.7699999999986</v>
      </c>
      <c r="F30" s="8">
        <f t="shared" si="13"/>
        <v>8616.5099999999984</v>
      </c>
      <c r="G30" s="8">
        <f t="shared" si="13"/>
        <v>26666</v>
      </c>
      <c r="H30" s="8">
        <f t="shared" si="13"/>
        <v>61307.659999999996</v>
      </c>
      <c r="I30" s="8">
        <f t="shared" si="13"/>
        <v>67682.559999999998</v>
      </c>
      <c r="J30" s="8">
        <f t="shared" si="13"/>
        <v>81011.340000000011</v>
      </c>
      <c r="K30" s="8">
        <f t="shared" si="13"/>
        <v>35285.06</v>
      </c>
      <c r="L30" s="8">
        <f t="shared" si="13"/>
        <v>63379.93</v>
      </c>
      <c r="M30" s="8">
        <f t="shared" si="13"/>
        <v>69062.48</v>
      </c>
      <c r="N30" s="8">
        <f t="shared" si="13"/>
        <v>3916</v>
      </c>
      <c r="O30" s="8">
        <f t="shared" si="13"/>
        <v>4146</v>
      </c>
      <c r="Q30" s="8">
        <f>IFERROR(+Q10-Q25, 0)</f>
        <v>425615.09</v>
      </c>
    </row>
    <row r="31" spans="1:17" s="6" customFormat="1" x14ac:dyDescent="0.25">
      <c r="B31" s="16"/>
      <c r="C31" s="16"/>
      <c r="D31" s="4">
        <f t="shared" ref="D31:O31" si="14">IFERROR(D30/D10, 0)</f>
        <v>1.2327086602865907</v>
      </c>
      <c r="E31" s="4">
        <f t="shared" si="14"/>
        <v>0.60252681789808282</v>
      </c>
      <c r="F31" s="4">
        <f t="shared" si="14"/>
        <v>0.8253267203825243</v>
      </c>
      <c r="G31" s="4">
        <f t="shared" si="14"/>
        <v>0.61271710833185888</v>
      </c>
      <c r="H31" s="4">
        <f t="shared" si="14"/>
        <v>0.95566859683446659</v>
      </c>
      <c r="I31" s="4">
        <f t="shared" si="14"/>
        <v>0.93782112542315021</v>
      </c>
      <c r="J31" s="4">
        <f t="shared" si="14"/>
        <v>0.98705891039563831</v>
      </c>
      <c r="K31" s="4">
        <f t="shared" si="14"/>
        <v>0.70408251429962521</v>
      </c>
      <c r="L31" s="4">
        <f t="shared" si="14"/>
        <v>1.1048528860086213</v>
      </c>
      <c r="M31" s="4">
        <f t="shared" si="14"/>
        <v>0.94425938664173892</v>
      </c>
      <c r="N31" s="4">
        <f t="shared" si="14"/>
        <v>0.64931188857569222</v>
      </c>
      <c r="O31" s="4">
        <f t="shared" si="14"/>
        <v>0.73367545567156256</v>
      </c>
      <c r="P31" s="18"/>
      <c r="Q31" s="4">
        <f>IFERROR(Q30/Q10, 0)</f>
        <v>0.90330531594370955</v>
      </c>
    </row>
    <row r="32" spans="1:17" x14ac:dyDescent="0.25">
      <c r="A32" s="5"/>
      <c r="B32" s="6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Q32" s="1"/>
    </row>
    <row r="33" spans="1:17" s="15" customFormat="1" x14ac:dyDescent="0.25">
      <c r="A33" s="6"/>
      <c r="B33" s="16" t="s">
        <v>254</v>
      </c>
      <c r="C33" s="6"/>
      <c r="D33" s="14">
        <f>SUM(OSRRefD20x_0)</f>
        <v>162400.23000000004</v>
      </c>
      <c r="E33" s="14">
        <f>SUM(OSRRefD20x_1)</f>
        <v>114815.22</v>
      </c>
      <c r="F33" s="14">
        <f>SUM(OSRRefD20x_2)</f>
        <v>150007.04999999999</v>
      </c>
      <c r="G33" s="14">
        <f>SUM(OSRRefD20x_3)</f>
        <v>145968.51000000004</v>
      </c>
      <c r="H33" s="14">
        <f>SUM(OSRRefD20x_4)</f>
        <v>137621.79</v>
      </c>
      <c r="I33" s="14">
        <f>SUM(OSRRefD20x_5)</f>
        <v>136040.57</v>
      </c>
      <c r="J33" s="14">
        <f>SUM(OSRRefD20x_6)</f>
        <v>127859.67</v>
      </c>
      <c r="K33" s="14">
        <f>SUM(OSRRefD20x_7)</f>
        <v>123001.62999999999</v>
      </c>
      <c r="L33" s="14">
        <f>SUM(OSRRefD20x_8)</f>
        <v>112201.27</v>
      </c>
      <c r="M33" s="14">
        <f>SUM(OSRRefD20x_9)</f>
        <v>137230.85</v>
      </c>
      <c r="N33" s="14">
        <f>SUM(OSRRefE20x_0)</f>
        <v>122816.95195340001</v>
      </c>
      <c r="O33" s="14">
        <f>SUM(OSRRefE20x_1)</f>
        <v>123028.91313016924</v>
      </c>
      <c r="Q33" s="14">
        <f>SUM(OSRRefG20x)</f>
        <v>1592992.6550835688</v>
      </c>
    </row>
    <row r="34" spans="1:17" s="34" customFormat="1" collapsed="1" x14ac:dyDescent="0.25">
      <c r="A34" s="35"/>
      <c r="B34" s="11" t="str">
        <f>CONCATENATE("     ","*Benefits                                         ")</f>
        <v xml:space="preserve">     *Benefits                                         </v>
      </c>
      <c r="C34" s="11"/>
      <c r="D34" s="1">
        <f>SUM(OSRRefD21_0x_0)</f>
        <v>34968.670000000006</v>
      </c>
      <c r="E34" s="1">
        <f>SUM(OSRRefD21_0x_1)</f>
        <v>27260.259999999995</v>
      </c>
      <c r="F34" s="1">
        <f>SUM(OSRRefD21_0x_2)</f>
        <v>27566.019999999997</v>
      </c>
      <c r="G34" s="1">
        <f>SUM(OSRRefD21_0x_3)</f>
        <v>29664.920000000002</v>
      </c>
      <c r="H34" s="1">
        <f>SUM(OSRRefD21_0x_4)</f>
        <v>25779.710000000003</v>
      </c>
      <c r="I34" s="1">
        <f>SUM(OSRRefD21_0x_5)</f>
        <v>20954.75</v>
      </c>
      <c r="J34" s="1">
        <f>SUM(OSRRefD21_0x_6)</f>
        <v>18824.990000000002</v>
      </c>
      <c r="K34" s="1">
        <f>SUM(OSRRefD21_0x_7)</f>
        <v>18076.13</v>
      </c>
      <c r="L34" s="1">
        <f>SUM(OSRRefD21_0x_8)</f>
        <v>18745.780000000002</v>
      </c>
      <c r="M34" s="1">
        <f>SUM(OSRRefD21_0x_9)</f>
        <v>22024.969999999998</v>
      </c>
      <c r="N34" s="1">
        <f>SUM(OSRRefE21_0x_0)</f>
        <v>16829.942261092314</v>
      </c>
      <c r="O34" s="1">
        <f>SUM(OSRRefE21_0x_1)</f>
        <v>17084.948437861545</v>
      </c>
      <c r="Q34" s="2">
        <f>SUM(OSRRefD20_0x)+IFERROR(SUM(OSRRefE20_0x),0)</f>
        <v>277781.09069895383</v>
      </c>
    </row>
    <row r="35" spans="1:17" s="34" customFormat="1" hidden="1" outlineLevel="1" x14ac:dyDescent="0.25">
      <c r="A35" s="35"/>
      <c r="B35" s="10" t="str">
        <f>CONCATENATE("          ","6111", " - ","F.I.C.A.")</f>
        <v xml:space="preserve">          6111 - F.I.C.A.</v>
      </c>
      <c r="C35" s="11"/>
      <c r="D35" s="2">
        <v>3475.83</v>
      </c>
      <c r="E35" s="2">
        <v>3115.33</v>
      </c>
      <c r="F35" s="2">
        <v>3178.71</v>
      </c>
      <c r="G35" s="2">
        <v>6149.64</v>
      </c>
      <c r="H35" s="2">
        <v>2059.0700000000002</v>
      </c>
      <c r="I35" s="2">
        <v>1575.88</v>
      </c>
      <c r="J35" s="2">
        <v>2030.81</v>
      </c>
      <c r="K35" s="2">
        <v>2064.8200000000002</v>
      </c>
      <c r="L35" s="2">
        <v>2329.63</v>
      </c>
      <c r="M35" s="2">
        <v>3515.25</v>
      </c>
      <c r="N35" s="2">
        <v>2297.2018341692301</v>
      </c>
      <c r="O35" s="2">
        <v>2323.4669301692302</v>
      </c>
      <c r="P35" s="9"/>
      <c r="Q35" s="2">
        <f>SUM(OSRRefD21_0_0x)+IFERROR(SUM(OSRRefE21_0_0x),0)</f>
        <v>34115.638764338459</v>
      </c>
    </row>
    <row r="36" spans="1:17" s="34" customFormat="1" hidden="1" outlineLevel="1" x14ac:dyDescent="0.25">
      <c r="A36" s="35"/>
      <c r="B36" s="10" t="str">
        <f>CONCATENATE("          ","6112", " - ","COMPENSATION INSURANCE")</f>
        <v xml:space="preserve">          6112 - COMPENSATION INSURANCE</v>
      </c>
      <c r="C36" s="11"/>
      <c r="D36" s="2">
        <v>738.68</v>
      </c>
      <c r="E36" s="2">
        <v>777.33</v>
      </c>
      <c r="F36" s="2">
        <v>988.18</v>
      </c>
      <c r="G36" s="2">
        <v>820.07</v>
      </c>
      <c r="H36" s="2">
        <v>1316.81</v>
      </c>
      <c r="I36" s="2">
        <v>1146.3</v>
      </c>
      <c r="J36" s="2">
        <v>205.8</v>
      </c>
      <c r="K36" s="2">
        <v>629.72</v>
      </c>
      <c r="L36" s="2">
        <v>611.25</v>
      </c>
      <c r="M36" s="2">
        <v>611.07000000000005</v>
      </c>
      <c r="N36" s="2">
        <v>748.77290353846195</v>
      </c>
      <c r="O36" s="2">
        <v>761.24393353846199</v>
      </c>
      <c r="P36" s="9"/>
      <c r="Q36" s="2">
        <f>SUM(OSRRefD21_0_1x)+IFERROR(SUM(OSRRefE21_0_1x),0)</f>
        <v>9355.2268370769234</v>
      </c>
    </row>
    <row r="37" spans="1:17" s="34" customFormat="1" hidden="1" outlineLevel="1" x14ac:dyDescent="0.25">
      <c r="A37" s="35"/>
      <c r="B37" s="10" t="str">
        <f>CONCATENATE("          ","6113", " - ","GROUP INSURANCE")</f>
        <v xml:space="preserve">          6113 - GROUP INSURANCE</v>
      </c>
      <c r="C37" s="11"/>
      <c r="D37" s="2">
        <v>18239.09</v>
      </c>
      <c r="E37" s="2">
        <v>13367.12</v>
      </c>
      <c r="F37" s="2">
        <v>13367.12</v>
      </c>
      <c r="G37" s="2">
        <v>11367.93</v>
      </c>
      <c r="H37" s="2">
        <v>11367.93</v>
      </c>
      <c r="I37" s="2">
        <v>11290.38</v>
      </c>
      <c r="J37" s="2">
        <v>8554.93</v>
      </c>
      <c r="K37" s="2">
        <v>8554.93</v>
      </c>
      <c r="L37" s="2">
        <v>8554.93</v>
      </c>
      <c r="M37" s="2">
        <v>8554.93</v>
      </c>
      <c r="N37" s="2">
        <v>7871.3076923076896</v>
      </c>
      <c r="O37" s="2">
        <v>8054.0769230769201</v>
      </c>
      <c r="P37" s="9"/>
      <c r="Q37" s="2">
        <f>SUM(OSRRefD21_0_2x)+IFERROR(SUM(OSRRefE21_0_2x),0)</f>
        <v>129144.67461538459</v>
      </c>
    </row>
    <row r="38" spans="1:17" s="34" customFormat="1" hidden="1" outlineLevel="1" x14ac:dyDescent="0.25">
      <c r="A38" s="35"/>
      <c r="B38" s="10" t="str">
        <f>CONCATENATE("          ","6114", " - ","STATE UNEMPLOYMENT INSURANCE")</f>
        <v xml:space="preserve">          6114 - STATE UNEMPLOYMENT INSURANCE</v>
      </c>
      <c r="C38" s="11"/>
      <c r="D38" s="2">
        <v>105.81</v>
      </c>
      <c r="E38" s="2">
        <v>107.66</v>
      </c>
      <c r="F38" s="2">
        <v>114.28</v>
      </c>
      <c r="G38" s="2">
        <v>104.09</v>
      </c>
      <c r="H38" s="2">
        <v>208.58</v>
      </c>
      <c r="I38" s="2"/>
      <c r="J38" s="2">
        <v>164.95</v>
      </c>
      <c r="K38" s="2">
        <v>81.3</v>
      </c>
      <c r="L38" s="2">
        <v>78.73</v>
      </c>
      <c r="M38" s="2">
        <v>78.72</v>
      </c>
      <c r="N38" s="2">
        <v>78.590227999999996</v>
      </c>
      <c r="O38" s="2">
        <v>79.346047999999996</v>
      </c>
      <c r="P38" s="9"/>
      <c r="Q38" s="2">
        <f>SUM(OSRRefD21_0_3x)+IFERROR(SUM(OSRRefE21_0_3x),0)</f>
        <v>1202.056276</v>
      </c>
    </row>
    <row r="39" spans="1:17" s="34" customFormat="1" hidden="1" outlineLevel="1" x14ac:dyDescent="0.25">
      <c r="A39" s="35"/>
      <c r="B39" s="10" t="str">
        <f>CONCATENATE("          ","6115", " - ","P.E.R.S.")</f>
        <v xml:space="preserve">          6115 - P.E.R.S.</v>
      </c>
      <c r="C39" s="11"/>
      <c r="D39" s="2">
        <v>6511.13</v>
      </c>
      <c r="E39" s="2">
        <v>3683.98</v>
      </c>
      <c r="F39" s="2">
        <v>3683.98</v>
      </c>
      <c r="G39" s="2">
        <v>3223.68</v>
      </c>
      <c r="H39" s="2">
        <v>5938.65</v>
      </c>
      <c r="I39" s="2">
        <v>2748.35</v>
      </c>
      <c r="J39" s="2">
        <v>3958.83</v>
      </c>
      <c r="K39" s="2">
        <v>2703.34</v>
      </c>
      <c r="L39" s="2">
        <v>2783.65</v>
      </c>
      <c r="M39" s="2">
        <v>2720.89</v>
      </c>
      <c r="N39" s="2">
        <v>2301.0685261538501</v>
      </c>
      <c r="O39" s="2">
        <v>2301.0685261538501</v>
      </c>
      <c r="P39" s="9"/>
      <c r="Q39" s="2">
        <f>SUM(OSRRefD21_0_4x)+IFERROR(SUM(OSRRefE21_0_4x),0)</f>
        <v>42558.617052307694</v>
      </c>
    </row>
    <row r="40" spans="1:17" s="34" customFormat="1" hidden="1" outlineLevel="1" x14ac:dyDescent="0.25">
      <c r="A40" s="35"/>
      <c r="B40" s="10" t="str">
        <f>CONCATENATE("          ","6116", " - ","EDUCATIONAL BENEFITS")</f>
        <v xml:space="preserve">          6116 - EDUCATIONAL BENEFITS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SUM(OSRRefD21_0_5x)+IFERROR(SUM(OSRRefE21_0_5x),0)</f>
        <v>0</v>
      </c>
    </row>
    <row r="41" spans="1:17" s="34" customFormat="1" hidden="1" outlineLevel="1" x14ac:dyDescent="0.25">
      <c r="A41" s="35"/>
      <c r="B41" s="10" t="str">
        <f>CONCATENATE("          ","6118", " - ","VACATION")</f>
        <v xml:space="preserve">          6118 - VACATION</v>
      </c>
      <c r="C41" s="11"/>
      <c r="D41" s="2">
        <v>3359.21</v>
      </c>
      <c r="E41" s="2">
        <v>3208.6</v>
      </c>
      <c r="F41" s="2">
        <v>3208.6</v>
      </c>
      <c r="G41" s="2">
        <v>4570.74</v>
      </c>
      <c r="H41" s="2">
        <v>2723.77</v>
      </c>
      <c r="I41" s="2">
        <v>2400.38</v>
      </c>
      <c r="J41" s="2">
        <v>2423.7800000000002</v>
      </c>
      <c r="K41" s="2">
        <v>2462.92</v>
      </c>
      <c r="L41" s="2">
        <v>2462.92</v>
      </c>
      <c r="M41" s="2">
        <v>3694.38</v>
      </c>
      <c r="N41" s="2">
        <v>2054.31207692308</v>
      </c>
      <c r="O41" s="2">
        <v>2071.4720769230798</v>
      </c>
      <c r="P41" s="9"/>
      <c r="Q41" s="2">
        <f>SUM(OSRRefD21_0_6x)+IFERROR(SUM(OSRRefE21_0_6x),0)</f>
        <v>34641.084153846161</v>
      </c>
    </row>
    <row r="42" spans="1:17" s="34" customFormat="1" hidden="1" outlineLevel="1" x14ac:dyDescent="0.25">
      <c r="A42" s="35"/>
      <c r="B42" s="10" t="str">
        <f>CONCATENATE("          ","6119", " - ","SICK LEAVE")</f>
        <v xml:space="preserve">          6119 - SICK LEAVE</v>
      </c>
      <c r="C42" s="11"/>
      <c r="D42" s="2">
        <v>2229.19</v>
      </c>
      <c r="E42" s="2">
        <v>1945.96</v>
      </c>
      <c r="F42" s="2">
        <v>1945.96</v>
      </c>
      <c r="G42" s="2">
        <v>2725.11</v>
      </c>
      <c r="H42" s="2">
        <v>1592.42</v>
      </c>
      <c r="I42" s="2">
        <v>1368.1</v>
      </c>
      <c r="J42" s="2">
        <v>1382.86</v>
      </c>
      <c r="K42" s="2">
        <v>1382.86</v>
      </c>
      <c r="L42" s="2">
        <v>1382.86</v>
      </c>
      <c r="M42" s="2">
        <v>2074.29</v>
      </c>
      <c r="N42" s="2">
        <v>953.68899999999996</v>
      </c>
      <c r="O42" s="2">
        <v>969.274</v>
      </c>
      <c r="P42" s="9"/>
      <c r="Q42" s="2">
        <f>SUM(OSRRefD21_0_7x)+IFERROR(SUM(OSRRefE21_0_7x),0)</f>
        <v>19952.573</v>
      </c>
    </row>
    <row r="43" spans="1:17" s="34" customFormat="1" hidden="1" outlineLevel="1" x14ac:dyDescent="0.25">
      <c r="A43" s="35"/>
      <c r="B43" s="10" t="str">
        <f>CONCATENATE("          ","6156", " - ","EMPLOYEE MEALS")</f>
        <v xml:space="preserve">          6156 - EMPLOYEE MEALS</v>
      </c>
      <c r="C43" s="11"/>
      <c r="D43" s="2">
        <v>309.73</v>
      </c>
      <c r="E43" s="2">
        <v>1054.28</v>
      </c>
      <c r="F43" s="2">
        <v>1079.19</v>
      </c>
      <c r="G43" s="2">
        <v>703.66</v>
      </c>
      <c r="H43" s="2">
        <v>572.48</v>
      </c>
      <c r="I43" s="2">
        <v>425.36</v>
      </c>
      <c r="J43" s="2">
        <v>103.03</v>
      </c>
      <c r="K43" s="2">
        <v>196.24</v>
      </c>
      <c r="L43" s="2">
        <v>541.80999999999995</v>
      </c>
      <c r="M43" s="2">
        <v>775.44</v>
      </c>
      <c r="N43" s="2">
        <v>525</v>
      </c>
      <c r="O43" s="2">
        <v>525</v>
      </c>
      <c r="P43" s="9"/>
      <c r="Q43" s="2">
        <f>SUM(OSRRefD21_0_8x)+IFERROR(SUM(OSRRefE21_0_8x),0)</f>
        <v>6811.2199999999993</v>
      </c>
    </row>
    <row r="44" spans="1:17" s="34" customFormat="1" collapsed="1" x14ac:dyDescent="0.25">
      <c r="A44" s="35"/>
      <c r="B44" s="11" t="str">
        <f>CONCATENATE("     ","*Payroll                                          ")</f>
        <v xml:space="preserve">     *Payroll                                          </v>
      </c>
      <c r="C44" s="11"/>
      <c r="D44" s="1">
        <f>SUM(OSRRefD21_1x_0)</f>
        <v>47905.05</v>
      </c>
      <c r="E44" s="1">
        <f>SUM(OSRRefD21_1x_1)</f>
        <v>40914.910000000003</v>
      </c>
      <c r="F44" s="1">
        <f>SUM(OSRRefD21_1x_2)</f>
        <v>40840.409999999996</v>
      </c>
      <c r="G44" s="1">
        <f>SUM(OSRRefD21_1x_3)</f>
        <v>37076.53</v>
      </c>
      <c r="H44" s="1">
        <f>SUM(OSRRefD21_1x_4)</f>
        <v>29696.65</v>
      </c>
      <c r="I44" s="1">
        <f>SUM(OSRRefD21_1x_5)</f>
        <v>24458.49</v>
      </c>
      <c r="J44" s="1">
        <f>SUM(OSRRefD21_1x_6)</f>
        <v>29206.010000000002</v>
      </c>
      <c r="K44" s="1">
        <f>SUM(OSRRefD21_1x_7)</f>
        <v>25366.62</v>
      </c>
      <c r="L44" s="1">
        <f>SUM(OSRRefD21_1x_8)</f>
        <v>27420.030000000002</v>
      </c>
      <c r="M44" s="1">
        <f>SUM(OSRRefD21_1x_9)</f>
        <v>32003.24</v>
      </c>
      <c r="N44" s="1">
        <f>SUM(OSRRefE21_1x_0)</f>
        <v>27219.009692307704</v>
      </c>
      <c r="O44" s="1">
        <f>SUM(OSRRefE21_1x_1)</f>
        <v>27476.964692307702</v>
      </c>
      <c r="Q44" s="2">
        <f>SUM(OSRRefD20_1x)+IFERROR(SUM(OSRRefE20_1x),0)</f>
        <v>389583.91438461537</v>
      </c>
    </row>
    <row r="45" spans="1:17" s="34" customFormat="1" hidden="1" outlineLevel="1" x14ac:dyDescent="0.25">
      <c r="A45" s="35"/>
      <c r="B45" s="10" t="str">
        <f>CONCATENATE("          ","6001", " - ","ADMINISTRATIVE SALARIES")</f>
        <v xml:space="preserve">          6001 - ADMINISTRATIVE SALARIES</v>
      </c>
      <c r="C45" s="11"/>
      <c r="D45" s="2">
        <v>11207.33</v>
      </c>
      <c r="E45" s="2">
        <v>11069.28</v>
      </c>
      <c r="F45" s="2">
        <v>11069.28</v>
      </c>
      <c r="G45" s="2">
        <v>10516.14</v>
      </c>
      <c r="H45" s="2">
        <v>9962.35</v>
      </c>
      <c r="I45" s="2">
        <v>8855.42</v>
      </c>
      <c r="J45" s="2">
        <v>13911.28</v>
      </c>
      <c r="K45" s="2">
        <v>10590.82</v>
      </c>
      <c r="L45" s="2">
        <v>10037.35</v>
      </c>
      <c r="M45" s="2">
        <v>13836.92</v>
      </c>
      <c r="N45" s="2">
        <v>15493.7076923077</v>
      </c>
      <c r="O45" s="2">
        <v>15493.7076923077</v>
      </c>
      <c r="P45" s="9"/>
      <c r="Q45" s="2">
        <f>SUM(OSRRefD21_1_0x)+IFERROR(SUM(OSRRefE21_1_0x),0)</f>
        <v>142043.58538461541</v>
      </c>
    </row>
    <row r="46" spans="1:17" s="34" customFormat="1" hidden="1" outlineLevel="1" x14ac:dyDescent="0.25">
      <c r="A46" s="35"/>
      <c r="B46" s="10" t="str">
        <f>CONCATENATE("          ","6002", " - ","STAFF SALARIES")</f>
        <v xml:space="preserve">          6002 - STAFF SALARIES</v>
      </c>
      <c r="C46" s="11"/>
      <c r="D46" s="2">
        <v>32575.99</v>
      </c>
      <c r="E46" s="2">
        <v>24162.06</v>
      </c>
      <c r="F46" s="2">
        <v>24492.959999999999</v>
      </c>
      <c r="G46" s="2">
        <v>21968.26</v>
      </c>
      <c r="H46" s="2">
        <v>16607.05</v>
      </c>
      <c r="I46" s="2">
        <v>12942.91</v>
      </c>
      <c r="J46" s="2">
        <v>14173.28</v>
      </c>
      <c r="K46" s="2">
        <v>14166.5</v>
      </c>
      <c r="L46" s="2">
        <v>14052.4</v>
      </c>
      <c r="M46" s="2">
        <v>14540.3</v>
      </c>
      <c r="N46" s="2">
        <v>8587.2420000000002</v>
      </c>
      <c r="O46" s="2">
        <v>8587.2420000000002</v>
      </c>
      <c r="P46" s="9"/>
      <c r="Q46" s="2">
        <f>SUM(OSRRefD21_1_1x)+IFERROR(SUM(OSRRefE21_1_1x),0)</f>
        <v>206856.19399999999</v>
      </c>
    </row>
    <row r="47" spans="1:17" s="34" customFormat="1" hidden="1" outlineLevel="1" x14ac:dyDescent="0.25">
      <c r="A47" s="35"/>
      <c r="B47" s="10" t="str">
        <f>CONCATENATE("          ","6003", " - ","STAFF HOURLY-9 MONTH")</f>
        <v xml:space="preserve">          6003 - STAFF HOURLY-9 MONTH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25">
      <c r="A48" s="35"/>
      <c r="B48" s="10" t="str">
        <f>CONCATENATE("          ","6004", " - ","STAFF HOURLY")</f>
        <v xml:space="preserve">          6004 - STAFF HOURLY</v>
      </c>
      <c r="C48" s="11"/>
      <c r="D48" s="2">
        <v>2771.73</v>
      </c>
      <c r="E48" s="2">
        <v>4818.47</v>
      </c>
      <c r="F48" s="2">
        <v>3115.4</v>
      </c>
      <c r="G48" s="2">
        <v>4641.7</v>
      </c>
      <c r="H48" s="2">
        <v>2751.03</v>
      </c>
      <c r="I48" s="2">
        <v>2426.3000000000002</v>
      </c>
      <c r="J48" s="2">
        <v>960.45</v>
      </c>
      <c r="K48" s="2">
        <v>284.3</v>
      </c>
      <c r="L48" s="2">
        <v>2789.95</v>
      </c>
      <c r="M48" s="2">
        <v>4020.03</v>
      </c>
      <c r="N48" s="2">
        <v>2934.36</v>
      </c>
      <c r="O48" s="2">
        <v>3243.24</v>
      </c>
      <c r="P48" s="9"/>
      <c r="Q48" s="2">
        <f>SUM(OSRRefD21_1_3x)+IFERROR(SUM(OSRRefE21_1_3x),0)</f>
        <v>34756.959999999999</v>
      </c>
    </row>
    <row r="49" spans="1:17" s="34" customFormat="1" hidden="1" outlineLevel="1" x14ac:dyDescent="0.25">
      <c r="A49" s="35"/>
      <c r="B49" s="10" t="str">
        <f>CONCATENATE("          ","6005", " - ","TEMPORARY WAGES-HOURLY")</f>
        <v xml:space="preserve">          6005 - TEMPORARY WAGES-HOURLY</v>
      </c>
      <c r="C49" s="11"/>
      <c r="D49" s="2"/>
      <c r="E49" s="2">
        <v>155.1</v>
      </c>
      <c r="F49" s="2">
        <v>3050.77</v>
      </c>
      <c r="G49" s="2">
        <v>1052.72</v>
      </c>
      <c r="H49" s="2">
        <v>376.22</v>
      </c>
      <c r="I49" s="2">
        <v>233.86</v>
      </c>
      <c r="J49" s="2">
        <v>0</v>
      </c>
      <c r="K49" s="2"/>
      <c r="L49" s="2">
        <v>172.33</v>
      </c>
      <c r="M49" s="2">
        <v>382.01</v>
      </c>
      <c r="N49" s="2">
        <v>203.7</v>
      </c>
      <c r="O49" s="2">
        <v>152.77500000000001</v>
      </c>
      <c r="P49" s="9"/>
      <c r="Q49" s="2">
        <f>SUM(OSRRefD21_1_4x)+IFERROR(SUM(OSRRefE21_1_4x),0)</f>
        <v>5779.4850000000006</v>
      </c>
    </row>
    <row r="50" spans="1:17" s="34" customFormat="1" hidden="1" outlineLevel="1" x14ac:dyDescent="0.25">
      <c r="A50" s="35"/>
      <c r="B50" s="10" t="str">
        <f>CONCATENATE("          ","6006", " - ","TEMPORARY PART TIME")</f>
        <v xml:space="preserve">          6006 - TEMPORARY PART TIME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25">
      <c r="A51" s="35"/>
      <c r="B51" s="10" t="str">
        <f>CONCATENATE("          ","6007", " - ","STUDENT HOURLY")</f>
        <v xml:space="preserve">          6007 - STUDENT HOURLY</v>
      </c>
      <c r="C51" s="11"/>
      <c r="D51" s="2">
        <v>1350</v>
      </c>
      <c r="E51" s="2">
        <v>710</v>
      </c>
      <c r="F51" s="2">
        <v>-888</v>
      </c>
      <c r="G51" s="2">
        <v>-1102.29</v>
      </c>
      <c r="H51" s="2"/>
      <c r="I51" s="2"/>
      <c r="J51" s="2">
        <v>161</v>
      </c>
      <c r="K51" s="2">
        <v>325</v>
      </c>
      <c r="L51" s="2">
        <v>368</v>
      </c>
      <c r="M51" s="2">
        <v>-776.02</v>
      </c>
      <c r="N51" s="2">
        <v>0</v>
      </c>
      <c r="O51" s="2">
        <v>0</v>
      </c>
      <c r="P51" s="9"/>
      <c r="Q51" s="2">
        <f>SUM(OSRRefD21_1_6x)+IFERROR(SUM(OSRRefE21_1_6x),0)</f>
        <v>147.69000000000005</v>
      </c>
    </row>
    <row r="52" spans="1:17" s="34" customFormat="1" hidden="1" outlineLevel="1" x14ac:dyDescent="0.25">
      <c r="A52" s="35"/>
      <c r="B52" s="10" t="str">
        <f>CONCATENATE("          ","6008", " - ","STUDENT HOURLY-FICA EXEMPT")</f>
        <v xml:space="preserve">          6008 - STUDENT HOURLY-FICA EXEMPT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SUM(OSRRefD21_1_7x)+IFERROR(SUM(OSRRefE21_1_7x),0)</f>
        <v>0</v>
      </c>
    </row>
    <row r="53" spans="1:17" s="34" customFormat="1" hidden="1" outlineLevel="1" x14ac:dyDescent="0.25">
      <c r="A53" s="35"/>
      <c r="B53" s="10" t="str">
        <f>CONCATENATE("          ","6009", " - ","TEMPORARY-SEASONAL")</f>
        <v xml:space="preserve">          6009 - TEMPORARY-SEASONAL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25">
      <c r="A54" s="35"/>
      <c r="B54" s="10" t="str">
        <f>CONCATENATE("          ","6010", " - ","GRATUITY")</f>
        <v xml:space="preserve">          6010 - GRATUITY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25">
      <c r="A55" s="35"/>
      <c r="B55" s="11" t="str">
        <f>CONCATENATE("     ","Advertising/Promo                                 ")</f>
        <v xml:space="preserve">     Advertising/Promo                                 </v>
      </c>
      <c r="C55" s="11"/>
      <c r="D55" s="1">
        <f>SUM(OSRRefD21_2x_0)</f>
        <v>45.97</v>
      </c>
      <c r="E55" s="1">
        <f>SUM(OSRRefD21_2x_1)</f>
        <v>0</v>
      </c>
      <c r="F55" s="1">
        <f>SUM(OSRRefD21_2x_2)</f>
        <v>49.61</v>
      </c>
      <c r="G55" s="1">
        <f>SUM(OSRRefD21_2x_3)</f>
        <v>15.05</v>
      </c>
      <c r="H55" s="1">
        <f>SUM(OSRRefD21_2x_4)</f>
        <v>15.9</v>
      </c>
      <c r="I55" s="1">
        <f>SUM(OSRRefD21_2x_5)</f>
        <v>7.42</v>
      </c>
      <c r="J55" s="1">
        <f>SUM(OSRRefD21_2x_6)</f>
        <v>5.4</v>
      </c>
      <c r="K55" s="1">
        <f>SUM(OSRRefD21_2x_7)</f>
        <v>78.48</v>
      </c>
      <c r="L55" s="1">
        <f>SUM(OSRRefD21_2x_8)</f>
        <v>155.19</v>
      </c>
      <c r="M55" s="1">
        <f>SUM(OSRRefD21_2x_9)</f>
        <v>68.13</v>
      </c>
      <c r="N55" s="1">
        <f>SUM(OSRRefE21_2x_0)</f>
        <v>0</v>
      </c>
      <c r="O55" s="1">
        <f>SUM(OSRRefE21_2x_1)</f>
        <v>0</v>
      </c>
      <c r="Q55" s="2">
        <f>SUM(OSRRefD20_2x)+IFERROR(SUM(OSRRefE20_2x),0)</f>
        <v>441.15</v>
      </c>
    </row>
    <row r="56" spans="1:17" s="34" customFormat="1" hidden="1" outlineLevel="1" x14ac:dyDescent="0.25">
      <c r="A56" s="35"/>
      <c r="B56" s="10" t="str">
        <f>CONCATENATE("          ","6362", " - ","ADVERTISING EXPENSE")</f>
        <v xml:space="preserve">          6362 - ADVERTISING EXPENSE</v>
      </c>
      <c r="C56" s="11"/>
      <c r="D56" s="2">
        <v>45.97</v>
      </c>
      <c r="E56" s="2"/>
      <c r="F56" s="2">
        <v>49.61</v>
      </c>
      <c r="G56" s="2">
        <v>15.05</v>
      </c>
      <c r="H56" s="2">
        <v>15.9</v>
      </c>
      <c r="I56" s="2">
        <v>7.42</v>
      </c>
      <c r="J56" s="2">
        <v>5.4</v>
      </c>
      <c r="K56" s="2">
        <v>78.48</v>
      </c>
      <c r="L56" s="2">
        <v>155.19</v>
      </c>
      <c r="M56" s="2">
        <v>68.13</v>
      </c>
      <c r="N56" s="2">
        <v>0</v>
      </c>
      <c r="O56" s="2">
        <v>0</v>
      </c>
      <c r="P56" s="9"/>
      <c r="Q56" s="2">
        <f>SUM(OSRRefD21_2_0x)+IFERROR(SUM(OSRRefE21_2_0x),0)</f>
        <v>441.15</v>
      </c>
    </row>
    <row r="57" spans="1:17" s="34" customFormat="1" collapsed="1" x14ac:dyDescent="0.25">
      <c r="A57" s="35"/>
      <c r="B57" s="11" t="str">
        <f>CONCATENATE("     ","Bad Debts/Over/Short                              ")</f>
        <v xml:space="preserve">     Bad Debts/Over/Short                              </v>
      </c>
      <c r="C57" s="11"/>
      <c r="D57" s="1">
        <f>SUM(OSRRefD21_3x_0)</f>
        <v>0</v>
      </c>
      <c r="E57" s="1">
        <f>SUM(OSRRefD21_3x_1)</f>
        <v>3.61</v>
      </c>
      <c r="F57" s="1">
        <f>SUM(OSRRefD21_3x_2)</f>
        <v>-193.82</v>
      </c>
      <c r="G57" s="1">
        <f>SUM(OSRRefD21_3x_3)</f>
        <v>1531.8</v>
      </c>
      <c r="H57" s="1">
        <f>SUM(OSRRefD21_3x_4)</f>
        <v>-1331.23</v>
      </c>
      <c r="I57" s="1">
        <f>SUM(OSRRefD21_3x_5)</f>
        <v>1.74</v>
      </c>
      <c r="J57" s="1">
        <f>SUM(OSRRefD21_3x_6)</f>
        <v>0</v>
      </c>
      <c r="K57" s="1">
        <f>SUM(OSRRefD21_3x_7)</f>
        <v>0</v>
      </c>
      <c r="L57" s="1">
        <f>SUM(OSRRefD21_3x_8)</f>
        <v>-0.39</v>
      </c>
      <c r="M57" s="1">
        <f>SUM(OSRRefD21_3x_9)</f>
        <v>0.57999999999999996</v>
      </c>
      <c r="N57" s="1">
        <f>SUM(OSRRefE21_3x_0)</f>
        <v>5</v>
      </c>
      <c r="O57" s="1">
        <f>SUM(OSRRefE21_3x_1)</f>
        <v>5</v>
      </c>
      <c r="Q57" s="2">
        <f>SUM(OSRRefD20_3x)+IFERROR(SUM(OSRRefE20_3x),0)</f>
        <v>22.2899999999999</v>
      </c>
    </row>
    <row r="58" spans="1:17" s="34" customFormat="1" hidden="1" outlineLevel="1" x14ac:dyDescent="0.25">
      <c r="A58" s="35"/>
      <c r="B58" s="10" t="str">
        <f>CONCATENATE("          ","6272", " - ","CASH (OVER/SHORT)")</f>
        <v xml:space="preserve">          6272 - CASH (OVER/SHORT)</v>
      </c>
      <c r="C58" s="11"/>
      <c r="D58" s="2"/>
      <c r="E58" s="2">
        <v>3.61</v>
      </c>
      <c r="F58" s="2">
        <v>-193.82</v>
      </c>
      <c r="G58" s="2">
        <v>1531.8</v>
      </c>
      <c r="H58" s="2">
        <v>-1331.23</v>
      </c>
      <c r="I58" s="2">
        <v>1.74</v>
      </c>
      <c r="J58" s="2"/>
      <c r="K58" s="2"/>
      <c r="L58" s="2">
        <v>-0.39</v>
      </c>
      <c r="M58" s="2">
        <v>0.57999999999999996</v>
      </c>
      <c r="N58" s="2">
        <v>5</v>
      </c>
      <c r="O58" s="2">
        <v>5</v>
      </c>
      <c r="P58" s="9"/>
      <c r="Q58" s="2">
        <f>SUM(OSRRefD21_3_0x)+IFERROR(SUM(OSRRefE21_3_0x),0)</f>
        <v>22.2899999999999</v>
      </c>
    </row>
    <row r="59" spans="1:17" s="34" customFormat="1" collapsed="1" x14ac:dyDescent="0.25">
      <c r="A59" s="35"/>
      <c r="B59" s="11" t="str">
        <f>CONCATENATE("     ","Bank/card Fees                                    ")</f>
        <v xml:space="preserve">     Bank/card Fees                                    </v>
      </c>
      <c r="C59" s="11"/>
      <c r="D59" s="1">
        <f>SUM(OSRRefD21_4x_0)</f>
        <v>342.82</v>
      </c>
      <c r="E59" s="1">
        <f>SUM(OSRRefD21_4x_1)</f>
        <v>393.07</v>
      </c>
      <c r="F59" s="1">
        <f>SUM(OSRRefD21_4x_2)</f>
        <v>603.61</v>
      </c>
      <c r="G59" s="1">
        <f>SUM(OSRRefD21_4x_3)</f>
        <v>962.55</v>
      </c>
      <c r="H59" s="1">
        <f>SUM(OSRRefD21_4x_4)</f>
        <v>952.48</v>
      </c>
      <c r="I59" s="1">
        <f>SUM(OSRRefD21_4x_5)</f>
        <v>913.56</v>
      </c>
      <c r="J59" s="1">
        <f>SUM(OSRRefD21_4x_6)</f>
        <v>896.72</v>
      </c>
      <c r="K59" s="1">
        <f>SUM(OSRRefD21_4x_7)</f>
        <v>1006.81</v>
      </c>
      <c r="L59" s="1">
        <f>SUM(OSRRefD21_4x_8)</f>
        <v>874.41</v>
      </c>
      <c r="M59" s="1">
        <f>SUM(OSRRefD21_4x_9)</f>
        <v>1701.74</v>
      </c>
      <c r="N59" s="1">
        <f>SUM(OSRRefE21_4x_0)</f>
        <v>461</v>
      </c>
      <c r="O59" s="1">
        <f>SUM(OSRRefE21_4x_1)</f>
        <v>426</v>
      </c>
      <c r="Q59" s="2">
        <f>SUM(OSRRefD20_4x)+IFERROR(SUM(OSRRefE20_4x),0)</f>
        <v>9534.77</v>
      </c>
    </row>
    <row r="60" spans="1:17" s="34" customFormat="1" hidden="1" outlineLevel="1" x14ac:dyDescent="0.25">
      <c r="A60" s="35"/>
      <c r="B60" s="10" t="str">
        <f>CONCATENATE("          ","6381", " - ","BANK/CREDIT CARD FEES")</f>
        <v xml:space="preserve">          6381 - BANK/CREDIT CARD FEES</v>
      </c>
      <c r="C60" s="11"/>
      <c r="D60" s="2">
        <v>342.82</v>
      </c>
      <c r="E60" s="2">
        <v>393.07</v>
      </c>
      <c r="F60" s="2">
        <v>603.61</v>
      </c>
      <c r="G60" s="2">
        <v>962.55</v>
      </c>
      <c r="H60" s="2">
        <v>952.48</v>
      </c>
      <c r="I60" s="2">
        <v>913.56</v>
      </c>
      <c r="J60" s="2">
        <v>896.72</v>
      </c>
      <c r="K60" s="2">
        <v>1006.81</v>
      </c>
      <c r="L60" s="2">
        <v>874.41</v>
      </c>
      <c r="M60" s="2">
        <v>1701.74</v>
      </c>
      <c r="N60" s="2">
        <v>461</v>
      </c>
      <c r="O60" s="2">
        <v>426</v>
      </c>
      <c r="P60" s="9"/>
      <c r="Q60" s="2">
        <f>SUM(OSRRefD21_4_0x)+IFERROR(SUM(OSRRefE21_4_0x),0)</f>
        <v>9534.77</v>
      </c>
    </row>
    <row r="61" spans="1:17" s="34" customFormat="1" collapsed="1" x14ac:dyDescent="0.25">
      <c r="A61" s="35"/>
      <c r="B61" s="11" t="str">
        <f>CONCATENATE("     ","Depreciation                                      ")</f>
        <v xml:space="preserve">     Depreciation                                      </v>
      </c>
      <c r="C61" s="11"/>
      <c r="D61" s="1">
        <f>SUM(OSRRefD21_5x_0)</f>
        <v>46546.740000000005</v>
      </c>
      <c r="E61" s="1">
        <f>SUM(OSRRefD21_5x_1)</f>
        <v>46962.47</v>
      </c>
      <c r="F61" s="1">
        <f>SUM(OSRRefD21_5x_2)</f>
        <v>46945.41</v>
      </c>
      <c r="G61" s="1">
        <f>SUM(OSRRefD21_5x_3)</f>
        <v>46041.58</v>
      </c>
      <c r="H61" s="1">
        <f>SUM(OSRRefD21_5x_4)</f>
        <v>45872.85</v>
      </c>
      <c r="I61" s="1">
        <f>SUM(OSRRefD21_5x_5)</f>
        <v>45872.85</v>
      </c>
      <c r="J61" s="1">
        <f>SUM(OSRRefD21_5x_6)</f>
        <v>45872.85</v>
      </c>
      <c r="K61" s="1">
        <f>SUM(OSRRefD21_5x_7)</f>
        <v>45872.85</v>
      </c>
      <c r="L61" s="1">
        <f>SUM(OSRRefD21_5x_8)</f>
        <v>45872.85</v>
      </c>
      <c r="M61" s="1">
        <f>SUM(OSRRefD21_5x_9)</f>
        <v>45872.85</v>
      </c>
      <c r="N61" s="1">
        <f>SUM(OSRRefE21_5x_0)</f>
        <v>46280</v>
      </c>
      <c r="O61" s="1">
        <f>SUM(OSRRefE21_5x_1)</f>
        <v>44140</v>
      </c>
      <c r="Q61" s="2">
        <f>SUM(OSRRefD20_5x)+IFERROR(SUM(OSRRefE20_5x),0)</f>
        <v>552153.29999999993</v>
      </c>
    </row>
    <row r="62" spans="1:17" s="34" customFormat="1" hidden="1" outlineLevel="1" x14ac:dyDescent="0.25">
      <c r="A62" s="35"/>
      <c r="B62" s="10" t="str">
        <f>CONCATENATE("          ","6321", " - ","BUILDING DEPRECIATION")</f>
        <v xml:space="preserve">          6321 - BUILDING DEPRECIATION</v>
      </c>
      <c r="C62" s="11"/>
      <c r="D62" s="2">
        <v>28925.4</v>
      </c>
      <c r="E62" s="2">
        <v>28925.4</v>
      </c>
      <c r="F62" s="2">
        <v>28925.39</v>
      </c>
      <c r="G62" s="2">
        <v>28664</v>
      </c>
      <c r="H62" s="2">
        <v>28664</v>
      </c>
      <c r="I62" s="2">
        <v>28664</v>
      </c>
      <c r="J62" s="2">
        <v>28664</v>
      </c>
      <c r="K62" s="2">
        <v>28664</v>
      </c>
      <c r="L62" s="2">
        <v>28664</v>
      </c>
      <c r="M62" s="2">
        <v>28664</v>
      </c>
      <c r="N62" s="2"/>
      <c r="O62" s="2"/>
      <c r="P62" s="9"/>
      <c r="Q62" s="2">
        <f>SUM(OSRRefD21_5_0x)+IFERROR(SUM(OSRRefE21_5_0x),0)</f>
        <v>287424.19</v>
      </c>
    </row>
    <row r="63" spans="1:17" s="34" customFormat="1" hidden="1" outlineLevel="1" x14ac:dyDescent="0.25">
      <c r="A63" s="35"/>
      <c r="B63" s="10" t="str">
        <f>CONCATENATE("          ","6322", " - ","EQUIPMENT DEPRECIATION EXPENSE")</f>
        <v xml:space="preserve">          6322 - EQUIPMENT DEPRECIATION EXPENSE</v>
      </c>
      <c r="C63" s="11"/>
      <c r="D63" s="2">
        <v>17621.34</v>
      </c>
      <c r="E63" s="2">
        <v>18037.07</v>
      </c>
      <c r="F63" s="2">
        <v>18020.02</v>
      </c>
      <c r="G63" s="2">
        <v>17377.580000000002</v>
      </c>
      <c r="H63" s="2">
        <v>17208.849999999999</v>
      </c>
      <c r="I63" s="2">
        <v>17208.849999999999</v>
      </c>
      <c r="J63" s="2">
        <v>17208.849999999999</v>
      </c>
      <c r="K63" s="2">
        <v>17208.849999999999</v>
      </c>
      <c r="L63" s="2">
        <v>17208.849999999999</v>
      </c>
      <c r="M63" s="2">
        <v>17208.849999999999</v>
      </c>
      <c r="N63" s="2">
        <v>45730</v>
      </c>
      <c r="O63" s="2">
        <v>43590</v>
      </c>
      <c r="P63" s="9"/>
      <c r="Q63" s="2">
        <f>SUM(OSRRefD21_5_1x)+IFERROR(SUM(OSRRefE21_5_1x),0)</f>
        <v>263629.11000000004</v>
      </c>
    </row>
    <row r="64" spans="1:17" s="34" customFormat="1" hidden="1" outlineLevel="1" x14ac:dyDescent="0.25">
      <c r="A64" s="35"/>
      <c r="B64" s="10" t="str">
        <f>CONCATENATE("          ","6326", " - ","VEHICLES DEPRECIATION EXPENSE")</f>
        <v xml:space="preserve">          6326 - VEHICLES DEPRECIATION EXPENSE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550</v>
      </c>
      <c r="O64" s="2">
        <v>550</v>
      </c>
      <c r="P64" s="9"/>
      <c r="Q64" s="2">
        <f>SUM(OSRRefD21_5_2x)+IFERROR(SUM(OSRRefE21_5_2x),0)</f>
        <v>1100</v>
      </c>
    </row>
    <row r="65" spans="1:17" s="34" customFormat="1" collapsed="1" x14ac:dyDescent="0.25">
      <c r="A65" s="35"/>
      <c r="B65" s="11" t="str">
        <f>CONCATENATE("     ","Employees' Appreciation                           ")</f>
        <v xml:space="preserve">     Employees' Appreciation                           </v>
      </c>
      <c r="C65" s="11"/>
      <c r="D65" s="1">
        <f>SUM(OSRRefD21_6x_0)</f>
        <v>0</v>
      </c>
      <c r="E65" s="1">
        <f>SUM(OSRRefD21_6x_1)</f>
        <v>0</v>
      </c>
      <c r="F65" s="1">
        <f>SUM(OSRRefD21_6x_2)</f>
        <v>0</v>
      </c>
      <c r="G65" s="1">
        <f>SUM(OSRRefD21_6x_3)</f>
        <v>0</v>
      </c>
      <c r="H65" s="1">
        <f>SUM(OSRRefD21_6x_4)</f>
        <v>0</v>
      </c>
      <c r="I65" s="1">
        <f>SUM(OSRRefD21_6x_5)</f>
        <v>10</v>
      </c>
      <c r="J65" s="1">
        <f>SUM(OSRRefD21_6x_6)</f>
        <v>0</v>
      </c>
      <c r="K65" s="1">
        <f>SUM(OSRRefD21_6x_7)</f>
        <v>0</v>
      </c>
      <c r="L65" s="1">
        <f>SUM(OSRRefD21_6x_8)</f>
        <v>0</v>
      </c>
      <c r="M65" s="1">
        <f>SUM(OSRRefD21_6x_9)</f>
        <v>0</v>
      </c>
      <c r="N65" s="1">
        <f>SUM(OSRRefE21_6x_0)</f>
        <v>0</v>
      </c>
      <c r="O65" s="1">
        <f>SUM(OSRRefE21_6x_1)</f>
        <v>0</v>
      </c>
      <c r="Q65" s="2">
        <f>SUM(OSRRefD20_6x)+IFERROR(SUM(OSRRefE20_6x),0)</f>
        <v>10</v>
      </c>
    </row>
    <row r="66" spans="1:17" s="34" customFormat="1" hidden="1" outlineLevel="1" x14ac:dyDescent="0.25">
      <c r="A66" s="35"/>
      <c r="B66" s="10" t="str">
        <f>CONCATENATE("          ","6277", " - ","EMPLOYEE APPRECIATION")</f>
        <v xml:space="preserve">          6277 - EMPLOYEE APPRECIATION</v>
      </c>
      <c r="C66" s="11"/>
      <c r="D66" s="2"/>
      <c r="E66" s="2"/>
      <c r="F66" s="2"/>
      <c r="G66" s="2"/>
      <c r="H66" s="2"/>
      <c r="I66" s="2">
        <v>10</v>
      </c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SUM(OSRRefD21_6_0x)+IFERROR(SUM(OSRRefE21_6_0x),0)</f>
        <v>10</v>
      </c>
    </row>
    <row r="67" spans="1:17" s="34" customFormat="1" collapsed="1" x14ac:dyDescent="0.25">
      <c r="A67" s="35"/>
      <c r="B67" s="11" t="str">
        <f>CONCATENATE("     ","Equipment Rental                                  ")</f>
        <v xml:space="preserve">     Equipment Rental                                  </v>
      </c>
      <c r="C67" s="11"/>
      <c r="D67" s="1">
        <f>SUM(OSRRefD21_7x_0)</f>
        <v>868.95</v>
      </c>
      <c r="E67" s="1">
        <f>SUM(OSRRefD21_7x_1)</f>
        <v>163.80000000000001</v>
      </c>
      <c r="F67" s="1">
        <f>SUM(OSRRefD21_7x_2)</f>
        <v>283.86</v>
      </c>
      <c r="G67" s="1">
        <f>SUM(OSRRefD21_7x_3)</f>
        <v>1984.06</v>
      </c>
      <c r="H67" s="1">
        <f>SUM(OSRRefD21_7x_4)</f>
        <v>775.02</v>
      </c>
      <c r="I67" s="1">
        <f>SUM(OSRRefD21_7x_5)</f>
        <v>386.08</v>
      </c>
      <c r="J67" s="1">
        <f>SUM(OSRRefD21_7x_6)</f>
        <v>267.66000000000003</v>
      </c>
      <c r="K67" s="1">
        <f>SUM(OSRRefD21_7x_7)</f>
        <v>431.95</v>
      </c>
      <c r="L67" s="1">
        <f>SUM(OSRRefD21_7x_8)</f>
        <v>163.80000000000001</v>
      </c>
      <c r="M67" s="1">
        <f>SUM(OSRRefD21_7x_9)</f>
        <v>743.99</v>
      </c>
      <c r="N67" s="1">
        <f>SUM(OSRRefE21_7x_0)</f>
        <v>292</v>
      </c>
      <c r="O67" s="1">
        <f>SUM(OSRRefE21_7x_1)</f>
        <v>241</v>
      </c>
      <c r="Q67" s="2">
        <f>SUM(OSRRefD20_7x)+IFERROR(SUM(OSRRefE20_7x),0)</f>
        <v>6602.17</v>
      </c>
    </row>
    <row r="68" spans="1:17" s="34" customFormat="1" hidden="1" outlineLevel="1" x14ac:dyDescent="0.25">
      <c r="A68" s="35"/>
      <c r="B68" s="10" t="str">
        <f>CONCATENATE("          ","6351", " - ","EQUIPMENT RENTAL")</f>
        <v xml:space="preserve">          6351 - EQUIPMENT RENTAL</v>
      </c>
      <c r="C68" s="11"/>
      <c r="D68" s="2">
        <v>868.95</v>
      </c>
      <c r="E68" s="2">
        <v>163.80000000000001</v>
      </c>
      <c r="F68" s="2">
        <v>283.86</v>
      </c>
      <c r="G68" s="2">
        <v>1984.06</v>
      </c>
      <c r="H68" s="2">
        <v>775.02</v>
      </c>
      <c r="I68" s="2">
        <v>386.08</v>
      </c>
      <c r="J68" s="2">
        <v>267.66000000000003</v>
      </c>
      <c r="K68" s="2">
        <v>431.95</v>
      </c>
      <c r="L68" s="2">
        <v>163.80000000000001</v>
      </c>
      <c r="M68" s="2">
        <v>743.99</v>
      </c>
      <c r="N68" s="2">
        <v>292</v>
      </c>
      <c r="O68" s="2">
        <v>241</v>
      </c>
      <c r="P68" s="9"/>
      <c r="Q68" s="2">
        <f>SUM(OSRRefD21_7_0x)+IFERROR(SUM(OSRRefE21_7_0x),0)</f>
        <v>6602.17</v>
      </c>
    </row>
    <row r="69" spans="1:17" s="34" customFormat="1" collapsed="1" x14ac:dyDescent="0.25">
      <c r="A69" s="35"/>
      <c r="B69" s="11" t="str">
        <f>CONCATENATE("     ","Freight out/Postage                               ")</f>
        <v xml:space="preserve">     Freight out/Postage                               </v>
      </c>
      <c r="C69" s="11"/>
      <c r="D69" s="1">
        <f>SUM(OSRRefD21_8x_0)</f>
        <v>0</v>
      </c>
      <c r="E69" s="1">
        <f>SUM(OSRRefD21_8x_1)</f>
        <v>3.94</v>
      </c>
      <c r="F69" s="1">
        <f>SUM(OSRRefD21_8x_2)</f>
        <v>0.64999999999999947</v>
      </c>
      <c r="G69" s="1">
        <f>SUM(OSRRefD21_8x_3)</f>
        <v>85.43</v>
      </c>
      <c r="H69" s="1">
        <f>SUM(OSRRefD21_8x_4)</f>
        <v>9.9</v>
      </c>
      <c r="I69" s="1">
        <f>SUM(OSRRefD21_8x_5)</f>
        <v>3.93</v>
      </c>
      <c r="J69" s="1">
        <f>SUM(OSRRefD21_8x_6)</f>
        <v>8.17</v>
      </c>
      <c r="K69" s="1">
        <f>SUM(OSRRefD21_8x_7)</f>
        <v>90.46</v>
      </c>
      <c r="L69" s="1">
        <f>SUM(OSRRefD21_8x_8)</f>
        <v>41.93</v>
      </c>
      <c r="M69" s="1">
        <f>SUM(OSRRefD21_8x_9)</f>
        <v>33.24</v>
      </c>
      <c r="N69" s="1">
        <f>SUM(OSRRefE21_8x_0)</f>
        <v>0</v>
      </c>
      <c r="O69" s="1">
        <f>SUM(OSRRefE21_8x_1)</f>
        <v>0</v>
      </c>
      <c r="Q69" s="2">
        <f>SUM(OSRRefD20_8x)+IFERROR(SUM(OSRRefE20_8x),0)</f>
        <v>277.65000000000003</v>
      </c>
    </row>
    <row r="70" spans="1:17" s="34" customFormat="1" hidden="1" outlineLevel="1" x14ac:dyDescent="0.25">
      <c r="A70" s="35"/>
      <c r="B70" s="10" t="str">
        <f>CONCATENATE("          ","6305", " - ","FREIGHT OUT")</f>
        <v xml:space="preserve">          6305 - FREIGHT OUT</v>
      </c>
      <c r="C70" s="11"/>
      <c r="D70" s="2"/>
      <c r="E70" s="2">
        <v>3.94</v>
      </c>
      <c r="F70" s="2">
        <v>6.06</v>
      </c>
      <c r="G70" s="2">
        <v>85.43</v>
      </c>
      <c r="H70" s="2">
        <v>9.9</v>
      </c>
      <c r="I70" s="2">
        <v>3.93</v>
      </c>
      <c r="J70" s="2">
        <v>8.17</v>
      </c>
      <c r="K70" s="2">
        <v>90.46</v>
      </c>
      <c r="L70" s="2">
        <v>41.93</v>
      </c>
      <c r="M70" s="2">
        <v>30.28</v>
      </c>
      <c r="N70" s="2"/>
      <c r="O70" s="2"/>
      <c r="P70" s="9"/>
      <c r="Q70" s="2">
        <f>SUM(OSRRefD21_8_0x)+IFERROR(SUM(OSRRefE21_8_0x),0)</f>
        <v>280.10000000000002</v>
      </c>
    </row>
    <row r="71" spans="1:17" s="34" customFormat="1" hidden="1" outlineLevel="1" x14ac:dyDescent="0.25">
      <c r="A71" s="35"/>
      <c r="B71" s="10" t="str">
        <f>CONCATENATE("          ","6307", " - ","POSTAGE")</f>
        <v xml:space="preserve">          6307 - POSTAGE</v>
      </c>
      <c r="C71" s="11"/>
      <c r="D71" s="2"/>
      <c r="E71" s="2"/>
      <c r="F71" s="2">
        <v>-5.41</v>
      </c>
      <c r="G71" s="2"/>
      <c r="H71" s="2"/>
      <c r="I71" s="2"/>
      <c r="J71" s="2"/>
      <c r="K71" s="2"/>
      <c r="L71" s="2"/>
      <c r="M71" s="2">
        <v>2.96</v>
      </c>
      <c r="N71" s="2"/>
      <c r="O71" s="2"/>
      <c r="P71" s="9"/>
      <c r="Q71" s="2">
        <f>SUM(OSRRefD21_8_1x)+IFERROR(SUM(OSRRefE21_8_1x),0)</f>
        <v>-2.4500000000000002</v>
      </c>
    </row>
    <row r="72" spans="1:17" s="34" customFormat="1" collapsed="1" x14ac:dyDescent="0.25">
      <c r="A72" s="35"/>
      <c r="B72" s="11" t="str">
        <f>CONCATENATE("     ","General                                           ")</f>
        <v xml:space="preserve">     General                                           </v>
      </c>
      <c r="C72" s="11"/>
      <c r="D72" s="1">
        <f>SUM(OSRRefD21_9x_0)</f>
        <v>5832.3</v>
      </c>
      <c r="E72" s="1">
        <f>SUM(OSRRefD21_9x_1)</f>
        <v>-1107.27</v>
      </c>
      <c r="F72" s="1">
        <f>SUM(OSRRefD21_9x_2)</f>
        <v>550.52</v>
      </c>
      <c r="G72" s="1">
        <f>SUM(OSRRefD21_9x_3)</f>
        <v>0</v>
      </c>
      <c r="H72" s="1">
        <f>SUM(OSRRefD21_9x_4)</f>
        <v>870</v>
      </c>
      <c r="I72" s="1">
        <f>SUM(OSRRefD21_9x_5)</f>
        <v>1745.38</v>
      </c>
      <c r="J72" s="1">
        <f>SUM(OSRRefD21_9x_6)</f>
        <v>-24.99</v>
      </c>
      <c r="K72" s="1">
        <f>SUM(OSRRefD21_9x_7)</f>
        <v>1893.03</v>
      </c>
      <c r="L72" s="1">
        <f>SUM(OSRRefD21_9x_8)</f>
        <v>1101.3699999999999</v>
      </c>
      <c r="M72" s="1">
        <f>SUM(OSRRefD21_9x_9)</f>
        <v>325</v>
      </c>
      <c r="N72" s="1">
        <f>SUM(OSRRefE21_9x_0)</f>
        <v>0</v>
      </c>
      <c r="O72" s="1">
        <f>SUM(OSRRefE21_9x_1)</f>
        <v>0</v>
      </c>
      <c r="Q72" s="2">
        <f>SUM(OSRRefD20_9x)+IFERROR(SUM(OSRRefE20_9x),0)</f>
        <v>11185.34</v>
      </c>
    </row>
    <row r="73" spans="1:17" s="34" customFormat="1" hidden="1" outlineLevel="1" x14ac:dyDescent="0.25">
      <c r="A73" s="35"/>
      <c r="B73" s="10" t="str">
        <f>CONCATENATE("          ","6279", " - ","GENERAL EXPENSE")</f>
        <v xml:space="preserve">          6279 - GENERAL EXPENSE</v>
      </c>
      <c r="C73" s="11"/>
      <c r="D73" s="2">
        <v>5832.3</v>
      </c>
      <c r="E73" s="2">
        <v>-1107.27</v>
      </c>
      <c r="F73" s="2">
        <v>550.52</v>
      </c>
      <c r="G73" s="2">
        <v>0</v>
      </c>
      <c r="H73" s="2">
        <v>870</v>
      </c>
      <c r="I73" s="2">
        <v>1745.38</v>
      </c>
      <c r="J73" s="2">
        <v>-24.99</v>
      </c>
      <c r="K73" s="2">
        <v>1893.03</v>
      </c>
      <c r="L73" s="2">
        <v>1101.3699999999999</v>
      </c>
      <c r="M73" s="2">
        <v>325</v>
      </c>
      <c r="N73" s="2">
        <v>0</v>
      </c>
      <c r="O73" s="2">
        <v>0</v>
      </c>
      <c r="P73" s="9"/>
      <c r="Q73" s="2">
        <f>SUM(OSRRefD21_9_0x)+IFERROR(SUM(OSRRefE21_9_0x),0)</f>
        <v>11185.34</v>
      </c>
    </row>
    <row r="74" spans="1:17" s="34" customFormat="1" collapsed="1" x14ac:dyDescent="0.25">
      <c r="A74" s="35"/>
      <c r="B74" s="11" t="str">
        <f>CONCATENATE("     ","Insurance                                         ")</f>
        <v xml:space="preserve">     Insurance                                         </v>
      </c>
      <c r="C74" s="11"/>
      <c r="D74" s="1">
        <f>SUM(OSRRefD21_10x_0)</f>
        <v>4483.67</v>
      </c>
      <c r="E74" s="1">
        <f>SUM(OSRRefD21_10x_1)</f>
        <v>4483.67</v>
      </c>
      <c r="F74" s="1">
        <f>SUM(OSRRefD21_10x_2)</f>
        <v>4483.67</v>
      </c>
      <c r="G74" s="1">
        <f>SUM(OSRRefD21_10x_3)</f>
        <v>10595.67</v>
      </c>
      <c r="H74" s="1">
        <f>SUM(OSRRefD21_10x_4)</f>
        <v>4483.67</v>
      </c>
      <c r="I74" s="1">
        <f>SUM(OSRRefD21_10x_5)</f>
        <v>4483.67</v>
      </c>
      <c r="J74" s="1">
        <f>SUM(OSRRefD21_10x_6)</f>
        <v>4483.67</v>
      </c>
      <c r="K74" s="1">
        <f>SUM(OSRRefD21_10x_7)</f>
        <v>4483.67</v>
      </c>
      <c r="L74" s="1">
        <f>SUM(OSRRefD21_10x_8)</f>
        <v>4483.67</v>
      </c>
      <c r="M74" s="1">
        <f>SUM(OSRRefD21_10x_9)</f>
        <v>4483.67</v>
      </c>
      <c r="N74" s="1">
        <f>SUM(OSRRefE21_10x_0)</f>
        <v>4835</v>
      </c>
      <c r="O74" s="1">
        <f>SUM(OSRRefE21_10x_1)</f>
        <v>4835</v>
      </c>
      <c r="Q74" s="2">
        <f>SUM(OSRRefD20_10x)+IFERROR(SUM(OSRRefE20_10x),0)</f>
        <v>60618.69999999999</v>
      </c>
    </row>
    <row r="75" spans="1:17" s="34" customFormat="1" hidden="1" outlineLevel="1" x14ac:dyDescent="0.25">
      <c r="A75" s="35"/>
      <c r="B75" s="10" t="str">
        <f>CONCATENATE("          ","6314", " - ","LIABILITY INSURANCE")</f>
        <v xml:space="preserve">          6314 - LIABILITY INSURANCE</v>
      </c>
      <c r="C75" s="11"/>
      <c r="D75" s="2">
        <v>4483.67</v>
      </c>
      <c r="E75" s="2">
        <v>4483.67</v>
      </c>
      <c r="F75" s="2">
        <v>4483.67</v>
      </c>
      <c r="G75" s="2">
        <v>10595.67</v>
      </c>
      <c r="H75" s="2">
        <v>4483.67</v>
      </c>
      <c r="I75" s="2">
        <v>4483.67</v>
      </c>
      <c r="J75" s="2">
        <v>4483.67</v>
      </c>
      <c r="K75" s="2">
        <v>4483.67</v>
      </c>
      <c r="L75" s="2">
        <v>4483.67</v>
      </c>
      <c r="M75" s="2">
        <v>4483.67</v>
      </c>
      <c r="N75" s="2">
        <v>4835</v>
      </c>
      <c r="O75" s="2">
        <v>4835</v>
      </c>
      <c r="P75" s="9"/>
      <c r="Q75" s="2">
        <f>SUM(OSRRefD21_10_0x)+IFERROR(SUM(OSRRefE21_10_0x),0)</f>
        <v>60618.69999999999</v>
      </c>
    </row>
    <row r="76" spans="1:17" s="34" customFormat="1" collapsed="1" x14ac:dyDescent="0.25">
      <c r="A76" s="35"/>
      <c r="B76" s="11" t="str">
        <f>CONCATENATE("     ","Interest                                          ")</f>
        <v xml:space="preserve">     Interest                                          </v>
      </c>
      <c r="C76" s="11"/>
      <c r="D76" s="1">
        <f>SUM(OSRRefD21_11x_0)</f>
        <v>11554</v>
      </c>
      <c r="E76" s="1">
        <f>SUM(OSRRefD21_11x_1)</f>
        <v>11554</v>
      </c>
      <c r="F76" s="1">
        <f>SUM(OSRRefD21_11x_2)</f>
        <v>11554</v>
      </c>
      <c r="G76" s="1">
        <f>SUM(OSRRefD21_11x_3)</f>
        <v>10805</v>
      </c>
      <c r="H76" s="1">
        <f>SUM(OSRRefD21_11x_4)</f>
        <v>11554</v>
      </c>
      <c r="I76" s="1">
        <f>SUM(OSRRefD21_11x_5)</f>
        <v>11554</v>
      </c>
      <c r="J76" s="1">
        <f>SUM(OSRRefD21_11x_6)</f>
        <v>11554</v>
      </c>
      <c r="K76" s="1">
        <f>SUM(OSRRefD21_11x_7)</f>
        <v>11554</v>
      </c>
      <c r="L76" s="1">
        <f>SUM(OSRRefD21_11x_8)</f>
        <v>11554</v>
      </c>
      <c r="M76" s="1">
        <f>SUM(OSRRefD21_11x_9)</f>
        <v>9180</v>
      </c>
      <c r="N76" s="1">
        <f>SUM(OSRRefE21_11x_0)</f>
        <v>11158</v>
      </c>
      <c r="O76" s="1">
        <f>SUM(OSRRefE21_11x_1)</f>
        <v>11158</v>
      </c>
      <c r="Q76" s="2">
        <f>SUM(OSRRefD20_11x)+IFERROR(SUM(OSRRefE20_11x),0)</f>
        <v>134733</v>
      </c>
    </row>
    <row r="77" spans="1:17" s="34" customFormat="1" hidden="1" outlineLevel="1" x14ac:dyDescent="0.25">
      <c r="A77" s="35"/>
      <c r="B77" s="10" t="str">
        <f>CONCATENATE("          ","6401", " - ","INTEREST EXPENSE")</f>
        <v xml:space="preserve">          6401 - INTEREST EXPENSE</v>
      </c>
      <c r="C77" s="11"/>
      <c r="D77" s="2">
        <v>11554</v>
      </c>
      <c r="E77" s="2">
        <v>11554</v>
      </c>
      <c r="F77" s="2">
        <v>11554</v>
      </c>
      <c r="G77" s="2">
        <v>10805</v>
      </c>
      <c r="H77" s="2">
        <v>11554</v>
      </c>
      <c r="I77" s="2">
        <v>11554</v>
      </c>
      <c r="J77" s="2">
        <v>11554</v>
      </c>
      <c r="K77" s="2">
        <v>11554</v>
      </c>
      <c r="L77" s="2">
        <v>11554</v>
      </c>
      <c r="M77" s="2">
        <v>9180</v>
      </c>
      <c r="N77" s="2">
        <v>11158</v>
      </c>
      <c r="O77" s="2">
        <v>11158</v>
      </c>
      <c r="P77" s="9"/>
      <c r="Q77" s="2">
        <f>SUM(OSRRefD21_11_0x)+IFERROR(SUM(OSRRefE21_11_0x),0)</f>
        <v>134733</v>
      </c>
    </row>
    <row r="78" spans="1:17" s="34" customFormat="1" collapsed="1" x14ac:dyDescent="0.25">
      <c r="A78" s="35"/>
      <c r="B78" s="11" t="str">
        <f>CONCATENATE("     ","R/H Commissions                                   ")</f>
        <v xml:space="preserve">     R/H Commissions                                   </v>
      </c>
      <c r="C78" s="11"/>
      <c r="D78" s="1">
        <f>SUM(OSRRefD21_12x_0)</f>
        <v>0</v>
      </c>
      <c r="E78" s="1">
        <f>SUM(OSRRefD21_12x_1)</f>
        <v>0</v>
      </c>
      <c r="F78" s="1">
        <f>SUM(OSRRefD21_12x_2)</f>
        <v>0</v>
      </c>
      <c r="G78" s="1">
        <f>SUM(OSRRefD21_12x_3)</f>
        <v>0</v>
      </c>
      <c r="H78" s="1">
        <f>SUM(OSRRefD21_12x_4)</f>
        <v>0</v>
      </c>
      <c r="I78" s="1">
        <f>SUM(OSRRefD21_12x_5)</f>
        <v>0</v>
      </c>
      <c r="J78" s="1">
        <f>SUM(OSRRefD21_12x_6)</f>
        <v>0</v>
      </c>
      <c r="K78" s="1">
        <f>SUM(OSRRefD21_12x_7)</f>
        <v>0</v>
      </c>
      <c r="L78" s="1">
        <f>SUM(OSRRefD21_12x_8)</f>
        <v>0</v>
      </c>
      <c r="M78" s="1">
        <f>SUM(OSRRefD21_12x_9)</f>
        <v>0</v>
      </c>
      <c r="N78" s="1">
        <f>SUM(OSRRefE21_12x_0)</f>
        <v>0</v>
      </c>
      <c r="O78" s="1">
        <f>SUM(OSRRefE21_12x_1)</f>
        <v>2000</v>
      </c>
      <c r="Q78" s="2">
        <f>SUM(OSRRefD20_12x)+IFERROR(SUM(OSRRefE20_12x),0)</f>
        <v>2000</v>
      </c>
    </row>
    <row r="79" spans="1:17" s="34" customFormat="1" hidden="1" outlineLevel="1" x14ac:dyDescent="0.25">
      <c r="A79" s="35"/>
      <c r="B79" s="10" t="str">
        <f>CONCATENATE("          ","6387", " - ","COMMISSION DUE HOUSING")</f>
        <v xml:space="preserve">          6387 - COMMISSION DUE HOUSING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>
        <v>2000</v>
      </c>
      <c r="P79" s="9"/>
      <c r="Q79" s="2">
        <f>SUM(OSRRefD21_12_0x)+IFERROR(SUM(OSRRefE21_12_0x),0)</f>
        <v>2000</v>
      </c>
    </row>
    <row r="80" spans="1:17" s="34" customFormat="1" collapsed="1" x14ac:dyDescent="0.25">
      <c r="A80" s="35"/>
      <c r="B80" s="11" t="str">
        <f>CONCATENATE("     ","Rent                                              ")</f>
        <v xml:space="preserve">     Rent                                              </v>
      </c>
      <c r="C80" s="11"/>
      <c r="D80" s="1">
        <f>SUM(OSRRefD21_13x_0)</f>
        <v>0</v>
      </c>
      <c r="E80" s="1">
        <f>SUM(OSRRefD21_13x_1)</f>
        <v>0</v>
      </c>
      <c r="F80" s="1">
        <f>SUM(OSRRefD21_13x_2)</f>
        <v>5550</v>
      </c>
      <c r="G80" s="1">
        <f>SUM(OSRRefD21_13x_3)</f>
        <v>0</v>
      </c>
      <c r="H80" s="1">
        <f>SUM(OSRRefD21_13x_4)</f>
        <v>0</v>
      </c>
      <c r="I80" s="1">
        <f>SUM(OSRRefD21_13x_5)</f>
        <v>5550</v>
      </c>
      <c r="J80" s="1">
        <f>SUM(OSRRefD21_13x_6)</f>
        <v>0</v>
      </c>
      <c r="K80" s="1">
        <f>SUM(OSRRefD21_13x_7)</f>
        <v>0</v>
      </c>
      <c r="L80" s="1">
        <f>SUM(OSRRefD21_13x_8)</f>
        <v>0</v>
      </c>
      <c r="M80" s="1">
        <f>SUM(OSRRefD21_13x_9)</f>
        <v>1850</v>
      </c>
      <c r="N80" s="1">
        <f>SUM(OSRRefE21_13x_0)</f>
        <v>1943</v>
      </c>
      <c r="O80" s="1">
        <f>SUM(OSRRefE21_13x_1)</f>
        <v>1943</v>
      </c>
      <c r="Q80" s="2">
        <f>SUM(OSRRefD20_13x)+IFERROR(SUM(OSRRefE20_13x),0)</f>
        <v>16836</v>
      </c>
    </row>
    <row r="81" spans="1:17" s="34" customFormat="1" hidden="1" outlineLevel="1" x14ac:dyDescent="0.25">
      <c r="A81" s="35"/>
      <c r="B81" s="10" t="str">
        <f>CONCATENATE("          ","6273", " - ","RENT")</f>
        <v xml:space="preserve">          6273 - RENT</v>
      </c>
      <c r="C81" s="11"/>
      <c r="D81" s="2"/>
      <c r="E81" s="2"/>
      <c r="F81" s="2">
        <v>5550</v>
      </c>
      <c r="G81" s="2"/>
      <c r="H81" s="2"/>
      <c r="I81" s="2">
        <v>5550</v>
      </c>
      <c r="J81" s="2"/>
      <c r="K81" s="2"/>
      <c r="L81" s="2"/>
      <c r="M81" s="2">
        <v>1850</v>
      </c>
      <c r="N81" s="2">
        <v>1943</v>
      </c>
      <c r="O81" s="2">
        <v>1943</v>
      </c>
      <c r="P81" s="9"/>
      <c r="Q81" s="2">
        <f>SUM(OSRRefD21_13_0x)+IFERROR(SUM(OSRRefE21_13_0x),0)</f>
        <v>16836</v>
      </c>
    </row>
    <row r="82" spans="1:17" s="34" customFormat="1" collapsed="1" x14ac:dyDescent="0.25">
      <c r="A82" s="35"/>
      <c r="B82" s="11" t="str">
        <f>CONCATENATE("     ","Repair and Maintenance                            ")</f>
        <v xml:space="preserve">     Repair and Maintenance                            </v>
      </c>
      <c r="C82" s="11"/>
      <c r="D82" s="1">
        <f>SUM(OSRRefD21_14x_0)</f>
        <v>4224.41</v>
      </c>
      <c r="E82" s="1">
        <f>SUM(OSRRefD21_14x_1)</f>
        <v>4732.46</v>
      </c>
      <c r="F82" s="1">
        <f>SUM(OSRRefD21_14x_2)</f>
        <v>3137.59</v>
      </c>
      <c r="G82" s="1">
        <f>SUM(OSRRefD21_14x_3)</f>
        <v>4021.3999999999996</v>
      </c>
      <c r="H82" s="1">
        <f>SUM(OSRRefD21_14x_4)</f>
        <v>4046.8</v>
      </c>
      <c r="I82" s="1">
        <f>SUM(OSRRefD21_14x_5)</f>
        <v>1988.17</v>
      </c>
      <c r="J82" s="1">
        <f>SUM(OSRRefD21_14x_6)</f>
        <v>2909.21</v>
      </c>
      <c r="K82" s="1">
        <f>SUM(OSRRefD21_14x_7)</f>
        <v>2144.13</v>
      </c>
      <c r="L82" s="1">
        <f>SUM(OSRRefD21_14x_8)</f>
        <v>17476.16</v>
      </c>
      <c r="M82" s="1">
        <f>SUM(OSRRefD21_14x_9)</f>
        <v>2052.63</v>
      </c>
      <c r="N82" s="1">
        <f>SUM(OSRRefE21_14x_0)</f>
        <v>1000</v>
      </c>
      <c r="O82" s="1">
        <f>SUM(OSRRefE21_14x_1)</f>
        <v>0</v>
      </c>
      <c r="Q82" s="2">
        <f>SUM(OSRRefD20_14x)+IFERROR(SUM(OSRRefE20_14x),0)</f>
        <v>47732.959999999999</v>
      </c>
    </row>
    <row r="83" spans="1:17" s="34" customFormat="1" hidden="1" outlineLevel="1" x14ac:dyDescent="0.25">
      <c r="A83" s="35"/>
      <c r="B83" s="10" t="str">
        <f>CONCATENATE("          ","6371", " - ","COMPUTER SOFTWARE MAINTENANCE")</f>
        <v xml:space="preserve">          6371 - COMPUTER SOFTWARE MAINTENANCE</v>
      </c>
      <c r="C83" s="11"/>
      <c r="D83" s="2"/>
      <c r="E83" s="2"/>
      <c r="F83" s="2"/>
      <c r="G83" s="2"/>
      <c r="H83" s="2"/>
      <c r="I83" s="2"/>
      <c r="J83" s="2"/>
      <c r="K83" s="2">
        <v>702.27</v>
      </c>
      <c r="L83" s="2"/>
      <c r="M83" s="2"/>
      <c r="N83" s="2"/>
      <c r="O83" s="2"/>
      <c r="P83" s="9"/>
      <c r="Q83" s="2">
        <f>SUM(OSRRefD21_14_0x)+IFERROR(SUM(OSRRefE21_14_0x),0)</f>
        <v>702.27</v>
      </c>
    </row>
    <row r="84" spans="1:17" s="34" customFormat="1" hidden="1" outlineLevel="1" x14ac:dyDescent="0.25">
      <c r="A84" s="35"/>
      <c r="B84" s="10" t="str">
        <f>CONCATENATE("          ","6372", " - ","COMPUTER HARDWARE MAINTENANCE")</f>
        <v xml:space="preserve">          6372 - COMPUTER HARDWARE MAINTENANCE</v>
      </c>
      <c r="C84" s="11"/>
      <c r="D84" s="2"/>
      <c r="E84" s="2"/>
      <c r="F84" s="2"/>
      <c r="G84" s="2"/>
      <c r="H84" s="2"/>
      <c r="I84" s="2"/>
      <c r="J84" s="2"/>
      <c r="K84" s="2"/>
      <c r="L84" s="2">
        <v>100</v>
      </c>
      <c r="M84" s="2"/>
      <c r="N84" s="2"/>
      <c r="O84" s="2"/>
      <c r="P84" s="9"/>
      <c r="Q84" s="2">
        <f>SUM(OSRRefD21_14_1x)+IFERROR(SUM(OSRRefE21_14_1x),0)</f>
        <v>100</v>
      </c>
    </row>
    <row r="85" spans="1:17" s="34" customFormat="1" hidden="1" outlineLevel="1" x14ac:dyDescent="0.25">
      <c r="A85" s="35"/>
      <c r="B85" s="10" t="str">
        <f>CONCATENATE("          ","6373", " - ","MAINTENANCE CONTRACTS")</f>
        <v xml:space="preserve">          6373 - MAINTENANCE CONTRACTS</v>
      </c>
      <c r="C85" s="11"/>
      <c r="D85" s="2">
        <v>2353.59</v>
      </c>
      <c r="E85" s="2">
        <v>2041.06</v>
      </c>
      <c r="F85" s="2">
        <v>1958.21</v>
      </c>
      <c r="G85" s="2">
        <v>3179.47</v>
      </c>
      <c r="H85" s="2">
        <v>900.01</v>
      </c>
      <c r="I85" s="2">
        <v>1545.7</v>
      </c>
      <c r="J85" s="2"/>
      <c r="K85" s="2"/>
      <c r="L85" s="2">
        <v>7503.81</v>
      </c>
      <c r="M85" s="2"/>
      <c r="N85" s="2">
        <v>0</v>
      </c>
      <c r="O85" s="2">
        <v>0</v>
      </c>
      <c r="P85" s="9"/>
      <c r="Q85" s="2">
        <f>SUM(OSRRefD21_14_2x)+IFERROR(SUM(OSRRefE21_14_2x),0)</f>
        <v>19481.850000000002</v>
      </c>
    </row>
    <row r="86" spans="1:17" s="34" customFormat="1" hidden="1" outlineLevel="1" x14ac:dyDescent="0.25">
      <c r="A86" s="35"/>
      <c r="B86" s="10" t="str">
        <f>CONCATENATE("          ","6375", " - ","OUTSIDE REPAIRS &amp; MAINTENANCE")</f>
        <v xml:space="preserve">          6375 - OUTSIDE REPAIRS &amp; MAINTENANCE</v>
      </c>
      <c r="C86" s="11"/>
      <c r="D86" s="2">
        <v>1870.82</v>
      </c>
      <c r="E86" s="2">
        <v>2691.4</v>
      </c>
      <c r="F86" s="2">
        <v>1179.3800000000001</v>
      </c>
      <c r="G86" s="2">
        <v>841.93</v>
      </c>
      <c r="H86" s="2">
        <v>3146.79</v>
      </c>
      <c r="I86" s="2">
        <v>442.47</v>
      </c>
      <c r="J86" s="2">
        <v>2909.21</v>
      </c>
      <c r="K86" s="2">
        <v>1441.86</v>
      </c>
      <c r="L86" s="2">
        <v>9872.35</v>
      </c>
      <c r="M86" s="2">
        <v>2052.63</v>
      </c>
      <c r="N86" s="2">
        <v>1000</v>
      </c>
      <c r="O86" s="2">
        <v>0</v>
      </c>
      <c r="P86" s="9"/>
      <c r="Q86" s="2">
        <f>SUM(OSRRefD21_14_3x)+IFERROR(SUM(OSRRefE21_14_3x),0)</f>
        <v>27448.84</v>
      </c>
    </row>
    <row r="87" spans="1:17" s="34" customFormat="1" collapsed="1" x14ac:dyDescent="0.25">
      <c r="A87" s="35"/>
      <c r="B87" s="11" t="str">
        <f>CONCATENATE("     ","Royalty &amp; Commissions                             ")</f>
        <v xml:space="preserve">     Royalty &amp; Commissions                             </v>
      </c>
      <c r="C87" s="11"/>
      <c r="D87" s="1">
        <f>SUM(OSRRefD21_15x_0)</f>
        <v>0</v>
      </c>
      <c r="E87" s="1">
        <f>SUM(OSRRefD21_15x_1)</f>
        <v>0</v>
      </c>
      <c r="F87" s="1">
        <f>SUM(OSRRefD21_15x_2)</f>
        <v>0</v>
      </c>
      <c r="G87" s="1">
        <f>SUM(OSRRefD21_15x_3)</f>
        <v>185.7</v>
      </c>
      <c r="H87" s="1">
        <f>SUM(OSRRefD21_15x_4)</f>
        <v>0</v>
      </c>
      <c r="I87" s="1">
        <f>SUM(OSRRefD21_15x_5)</f>
        <v>0</v>
      </c>
      <c r="J87" s="1">
        <f>SUM(OSRRefD21_15x_6)</f>
        <v>0</v>
      </c>
      <c r="K87" s="1">
        <f>SUM(OSRRefD21_15x_7)</f>
        <v>0</v>
      </c>
      <c r="L87" s="1">
        <f>SUM(OSRRefD21_15x_8)</f>
        <v>0</v>
      </c>
      <c r="M87" s="1">
        <f>SUM(OSRRefD21_15x_9)</f>
        <v>0</v>
      </c>
      <c r="N87" s="1">
        <f>SUM(OSRRefE21_15x_0)</f>
        <v>0</v>
      </c>
      <c r="O87" s="1">
        <f>SUM(OSRRefE21_15x_1)</f>
        <v>0</v>
      </c>
      <c r="Q87" s="2">
        <f>SUM(OSRRefD20_15x)+IFERROR(SUM(OSRRefE20_15x),0)</f>
        <v>185.7</v>
      </c>
    </row>
    <row r="88" spans="1:17" s="34" customFormat="1" hidden="1" outlineLevel="1" x14ac:dyDescent="0.25">
      <c r="A88" s="35"/>
      <c r="B88" s="10" t="str">
        <f>CONCATENATE("          ","6254", " - ","ROYALTY &amp; COMMISSIONS")</f>
        <v xml:space="preserve">          6254 - ROYALTY &amp; COMMISSIONS</v>
      </c>
      <c r="C88" s="11"/>
      <c r="D88" s="2"/>
      <c r="E88" s="2"/>
      <c r="F88" s="2"/>
      <c r="G88" s="2">
        <v>185.7</v>
      </c>
      <c r="H88" s="2"/>
      <c r="I88" s="2"/>
      <c r="J88" s="2"/>
      <c r="K88" s="2"/>
      <c r="L88" s="2"/>
      <c r="M88" s="2"/>
      <c r="N88" s="2">
        <v>0</v>
      </c>
      <c r="O88" s="2">
        <v>0</v>
      </c>
      <c r="P88" s="9"/>
      <c r="Q88" s="2">
        <f>SUM(OSRRefD21_15_0x)+IFERROR(SUM(OSRRefE21_15_0x),0)</f>
        <v>185.7</v>
      </c>
    </row>
    <row r="89" spans="1:17" s="34" customFormat="1" hidden="1" outlineLevel="1" x14ac:dyDescent="0.25">
      <c r="A89" s="35"/>
      <c r="B89" s="10" t="str">
        <f>CONCATENATE("          ","6259", " - ","ROYALTY &amp; COMMISSIONS")</f>
        <v xml:space="preserve">          6259 - ROYALTY &amp; COMMISSIONS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>
        <v>0</v>
      </c>
      <c r="O89" s="2">
        <v>0</v>
      </c>
      <c r="P89" s="9"/>
      <c r="Q89" s="2">
        <f>SUM(OSRRefD21_15_1x)+IFERROR(SUM(OSRRefE21_15_1x),0)</f>
        <v>0</v>
      </c>
    </row>
    <row r="90" spans="1:17" s="34" customFormat="1" collapsed="1" x14ac:dyDescent="0.25">
      <c r="A90" s="35"/>
      <c r="B90" s="11" t="str">
        <f>CONCATENATE("     ","Services                                          ")</f>
        <v xml:space="preserve">     Services                                          </v>
      </c>
      <c r="C90" s="11"/>
      <c r="D90" s="1">
        <f>SUM(OSRRefD21_16x_0)</f>
        <v>802.59999999999991</v>
      </c>
      <c r="E90" s="1">
        <f>SUM(OSRRefD21_16x_1)</f>
        <v>4020.02</v>
      </c>
      <c r="F90" s="1">
        <f>SUM(OSRRefD21_16x_2)</f>
        <v>4172.68</v>
      </c>
      <c r="G90" s="1">
        <f>SUM(OSRRefD21_16x_3)</f>
        <v>7010.73</v>
      </c>
      <c r="H90" s="1">
        <f>SUM(OSRRefD21_16x_4)</f>
        <v>8878.44</v>
      </c>
      <c r="I90" s="1">
        <f>SUM(OSRRefD21_16x_5)</f>
        <v>12158.68</v>
      </c>
      <c r="J90" s="1">
        <f>SUM(OSRRefD21_16x_6)</f>
        <v>8369.75</v>
      </c>
      <c r="K90" s="1">
        <f>SUM(OSRRefD21_16x_7)</f>
        <v>6538.14</v>
      </c>
      <c r="L90" s="1">
        <f>SUM(OSRRefD21_16x_8)</f>
        <v>-5528.9699999999993</v>
      </c>
      <c r="M90" s="1">
        <f>SUM(OSRRefD21_16x_9)</f>
        <v>10905.37</v>
      </c>
      <c r="N90" s="1">
        <f>SUM(OSRRefE21_16x_0)</f>
        <v>7119</v>
      </c>
      <c r="O90" s="1">
        <f>SUM(OSRRefE21_16x_1)</f>
        <v>7894</v>
      </c>
      <c r="Q90" s="2">
        <f>SUM(OSRRefD20_16x)+IFERROR(SUM(OSRRefE20_16x),0)</f>
        <v>72340.44</v>
      </c>
    </row>
    <row r="91" spans="1:17" s="34" customFormat="1" hidden="1" outlineLevel="1" x14ac:dyDescent="0.25">
      <c r="A91" s="35"/>
      <c r="B91" s="10" t="str">
        <f>CONCATENATE("          ","6282", " - ","JANITORIAL/EXTERMINATOR EXPENS")</f>
        <v xml:space="preserve">          6282 - JANITORIAL/EXTERMINATOR EXPENS</v>
      </c>
      <c r="C91" s="11"/>
      <c r="D91" s="2">
        <v>286.62</v>
      </c>
      <c r="E91" s="2">
        <v>-283.27</v>
      </c>
      <c r="F91" s="2">
        <v>49.36</v>
      </c>
      <c r="G91" s="2">
        <v>1529.78</v>
      </c>
      <c r="H91" s="2">
        <v>41</v>
      </c>
      <c r="I91" s="2">
        <v>3214.69</v>
      </c>
      <c r="J91" s="2">
        <v>2711.75</v>
      </c>
      <c r="K91" s="2">
        <v>768.19</v>
      </c>
      <c r="L91" s="2">
        <v>2022.27</v>
      </c>
      <c r="M91" s="2">
        <v>1861.85</v>
      </c>
      <c r="N91" s="2">
        <v>955</v>
      </c>
      <c r="O91" s="2">
        <v>1582</v>
      </c>
      <c r="P91" s="9"/>
      <c r="Q91" s="2">
        <f>SUM(OSRRefD21_16_0x)+IFERROR(SUM(OSRRefE21_16_0x),0)</f>
        <v>14739.240000000002</v>
      </c>
    </row>
    <row r="92" spans="1:17" s="34" customFormat="1" hidden="1" outlineLevel="1" x14ac:dyDescent="0.25">
      <c r="A92" s="35"/>
      <c r="B92" s="10" t="str">
        <f>CONCATENATE("          ","6283", " - ","PLANT SERVICE")</f>
        <v xml:space="preserve">          6283 - PLANT SERVICE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0</v>
      </c>
      <c r="O92" s="2">
        <v>0</v>
      </c>
      <c r="P92" s="9"/>
      <c r="Q92" s="2">
        <f>SUM(OSRRefD21_16_1x)+IFERROR(SUM(OSRRefE21_16_1x),0)</f>
        <v>0</v>
      </c>
    </row>
    <row r="93" spans="1:17" s="34" customFormat="1" hidden="1" outlineLevel="1" x14ac:dyDescent="0.25">
      <c r="A93" s="35"/>
      <c r="B93" s="10" t="str">
        <f>CONCATENATE("          ","6284", " - ","TRASH REMOVAL EXPENSE")</f>
        <v xml:space="preserve">          6284 - TRASH REMOVAL EXPENSE</v>
      </c>
      <c r="C93" s="11"/>
      <c r="D93" s="2">
        <v>1000</v>
      </c>
      <c r="E93" s="2">
        <v>1000</v>
      </c>
      <c r="F93" s="2">
        <v>761</v>
      </c>
      <c r="G93" s="2">
        <v>5369</v>
      </c>
      <c r="H93" s="2">
        <v>5658</v>
      </c>
      <c r="I93" s="2">
        <v>5658</v>
      </c>
      <c r="J93" s="2">
        <v>5658</v>
      </c>
      <c r="K93" s="2">
        <v>5658</v>
      </c>
      <c r="L93" s="2">
        <v>-9244</v>
      </c>
      <c r="M93" s="2">
        <v>5658</v>
      </c>
      <c r="N93" s="2">
        <v>3123</v>
      </c>
      <c r="O93" s="2">
        <v>3123</v>
      </c>
      <c r="P93" s="9"/>
      <c r="Q93" s="2">
        <f>SUM(OSRRefD21_16_2x)+IFERROR(SUM(OSRRefE21_16_2x),0)</f>
        <v>33422</v>
      </c>
    </row>
    <row r="94" spans="1:17" s="34" customFormat="1" hidden="1" outlineLevel="1" x14ac:dyDescent="0.25">
      <c r="A94" s="35"/>
      <c r="B94" s="10" t="str">
        <f>CONCATENATE("          ","6285", " - ","JANITORIAL SERVICES")</f>
        <v xml:space="preserve">          6285 - JANITORIAL SERVICES</v>
      </c>
      <c r="C94" s="11"/>
      <c r="D94" s="2">
        <v>-804.6</v>
      </c>
      <c r="E94" s="2">
        <v>3155.58</v>
      </c>
      <c r="F94" s="2">
        <v>3256.35</v>
      </c>
      <c r="G94" s="2"/>
      <c r="H94" s="2">
        <v>3179.44</v>
      </c>
      <c r="I94" s="2">
        <v>3179.44</v>
      </c>
      <c r="J94" s="2">
        <v>0</v>
      </c>
      <c r="K94" s="2">
        <v>0</v>
      </c>
      <c r="L94" s="2">
        <v>1692.76</v>
      </c>
      <c r="M94" s="2">
        <v>3385.52</v>
      </c>
      <c r="N94" s="2">
        <v>3041</v>
      </c>
      <c r="O94" s="2">
        <v>3041</v>
      </c>
      <c r="P94" s="9"/>
      <c r="Q94" s="2">
        <f>SUM(OSRRefD21_16_3x)+IFERROR(SUM(OSRRefE21_16_3x),0)</f>
        <v>23126.49</v>
      </c>
    </row>
    <row r="95" spans="1:17" s="34" customFormat="1" hidden="1" outlineLevel="1" x14ac:dyDescent="0.25">
      <c r="A95" s="35"/>
      <c r="B95" s="10" t="str">
        <f>CONCATENATE("          ","6286", " - ","LAUNDRY EXPENSE")</f>
        <v xml:space="preserve">          6286 - LAUNDRY EXPENSE</v>
      </c>
      <c r="C95" s="11"/>
      <c r="D95" s="2">
        <v>320.58</v>
      </c>
      <c r="E95" s="2">
        <v>147.71</v>
      </c>
      <c r="F95" s="2">
        <v>105.97</v>
      </c>
      <c r="G95" s="2">
        <v>111.95</v>
      </c>
      <c r="H95" s="2"/>
      <c r="I95" s="2">
        <v>106.55</v>
      </c>
      <c r="J95" s="2"/>
      <c r="K95" s="2">
        <v>111.95</v>
      </c>
      <c r="L95" s="2"/>
      <c r="M95" s="2"/>
      <c r="N95" s="2">
        <v>0</v>
      </c>
      <c r="O95" s="2">
        <v>148</v>
      </c>
      <c r="P95" s="9"/>
      <c r="Q95" s="2">
        <f>SUM(OSRRefD21_16_4x)+IFERROR(SUM(OSRRefE21_16_4x),0)</f>
        <v>1052.71</v>
      </c>
    </row>
    <row r="96" spans="1:17" s="34" customFormat="1" collapsed="1" x14ac:dyDescent="0.25">
      <c r="A96" s="35"/>
      <c r="B96" s="11" t="str">
        <f>CONCATENATE("     ","Subscriptions &amp; Dues                              ")</f>
        <v xml:space="preserve">     Subscriptions &amp; Dues                              </v>
      </c>
      <c r="C96" s="11"/>
      <c r="D96" s="1">
        <f>SUM(OSRRefD21_17x_0)</f>
        <v>9.32</v>
      </c>
      <c r="E96" s="1">
        <f>SUM(OSRRefD21_17x_1)</f>
        <v>0</v>
      </c>
      <c r="F96" s="1">
        <f>SUM(OSRRefD21_17x_2)</f>
        <v>131.34</v>
      </c>
      <c r="G96" s="1">
        <f>SUM(OSRRefD21_17x_3)</f>
        <v>130.66999999999999</v>
      </c>
      <c r="H96" s="1">
        <f>SUM(OSRRefD21_17x_4)</f>
        <v>0</v>
      </c>
      <c r="I96" s="1">
        <f>SUM(OSRRefD21_17x_5)</f>
        <v>262.83999999999997</v>
      </c>
      <c r="J96" s="1">
        <f>SUM(OSRRefD21_17x_6)</f>
        <v>0</v>
      </c>
      <c r="K96" s="1">
        <f>SUM(OSRRefD21_17x_7)</f>
        <v>262.83999999999997</v>
      </c>
      <c r="L96" s="1">
        <f>SUM(OSRRefD21_17x_8)</f>
        <v>119.07</v>
      </c>
      <c r="M96" s="1">
        <f>SUM(OSRRefD21_17x_9)</f>
        <v>0</v>
      </c>
      <c r="N96" s="1">
        <f>SUM(OSRRefE21_17x_0)</f>
        <v>200</v>
      </c>
      <c r="O96" s="1">
        <f>SUM(OSRRefE21_17x_1)</f>
        <v>200</v>
      </c>
      <c r="Q96" s="2">
        <f>SUM(OSRRefD20_17x)+IFERROR(SUM(OSRRefE20_17x),0)</f>
        <v>1316.08</v>
      </c>
    </row>
    <row r="97" spans="1:17" s="34" customFormat="1" hidden="1" outlineLevel="1" x14ac:dyDescent="0.25">
      <c r="A97" s="35"/>
      <c r="B97" s="10" t="str">
        <f>CONCATENATE("          ","6275", " - ","SUBSCRIPTIONS")</f>
        <v xml:space="preserve">          6275 - SUBSCRIPTIONS</v>
      </c>
      <c r="C97" s="11"/>
      <c r="D97" s="2">
        <v>9.32</v>
      </c>
      <c r="E97" s="2"/>
      <c r="F97" s="2">
        <v>131.34</v>
      </c>
      <c r="G97" s="2">
        <v>130.66999999999999</v>
      </c>
      <c r="H97" s="2"/>
      <c r="I97" s="2">
        <v>262.83999999999997</v>
      </c>
      <c r="J97" s="2"/>
      <c r="K97" s="2">
        <v>262.83999999999997</v>
      </c>
      <c r="L97" s="2">
        <v>119.07</v>
      </c>
      <c r="M97" s="2"/>
      <c r="N97" s="2">
        <v>200</v>
      </c>
      <c r="O97" s="2">
        <v>200</v>
      </c>
      <c r="P97" s="9"/>
      <c r="Q97" s="2">
        <f>SUM(OSRRefD21_17_0x)+IFERROR(SUM(OSRRefE21_17_0x),0)</f>
        <v>1316.08</v>
      </c>
    </row>
    <row r="98" spans="1:17" s="34" customFormat="1" collapsed="1" x14ac:dyDescent="0.25">
      <c r="A98" s="35"/>
      <c r="B98" s="11" t="str">
        <f>CONCATENATE("     ","Supplies                                          ")</f>
        <v xml:space="preserve">     Supplies                                          </v>
      </c>
      <c r="C98" s="11"/>
      <c r="D98" s="1">
        <f>SUM(OSRRefD21_18x_0)</f>
        <v>693.41000000000008</v>
      </c>
      <c r="E98" s="1">
        <f>SUM(OSRRefD21_18x_1)</f>
        <v>-28537.24</v>
      </c>
      <c r="F98" s="1">
        <f>SUM(OSRRefD21_18x_2)</f>
        <v>861.48</v>
      </c>
      <c r="G98" s="1">
        <f>SUM(OSRRefD21_18x_3)</f>
        <v>6433.76</v>
      </c>
      <c r="H98" s="1">
        <f>SUM(OSRRefD21_18x_4)</f>
        <v>72</v>
      </c>
      <c r="I98" s="1">
        <f>SUM(OSRRefD21_18x_5)</f>
        <v>24.36</v>
      </c>
      <c r="J98" s="1">
        <f>SUM(OSRRefD21_18x_6)</f>
        <v>116.72999999999999</v>
      </c>
      <c r="K98" s="1">
        <f>SUM(OSRRefD21_18x_7)</f>
        <v>82.73</v>
      </c>
      <c r="L98" s="1">
        <f>SUM(OSRRefD21_18x_8)</f>
        <v>94.92</v>
      </c>
      <c r="M98" s="1">
        <f>SUM(OSRRefD21_18x_9)</f>
        <v>627.34</v>
      </c>
      <c r="N98" s="1">
        <f>SUM(OSRRefE21_18x_0)</f>
        <v>975</v>
      </c>
      <c r="O98" s="1">
        <f>SUM(OSRRefE21_18x_1)</f>
        <v>975</v>
      </c>
      <c r="Q98" s="2">
        <f>SUM(OSRRefD20_18x)+IFERROR(SUM(OSRRefE20_18x),0)</f>
        <v>-17580.510000000006</v>
      </c>
    </row>
    <row r="99" spans="1:17" s="34" customFormat="1" hidden="1" outlineLevel="1" x14ac:dyDescent="0.25">
      <c r="A99" s="35"/>
      <c r="B99" s="10" t="str">
        <f>CONCATENATE("          ","6234", " - ","EXPENDABLE SUPPLIES &amp; EQUIPMEN")</f>
        <v xml:space="preserve">          6234 - EXPENDABLE SUPPLIES &amp; EQUIPMEN</v>
      </c>
      <c r="C99" s="11"/>
      <c r="D99" s="2"/>
      <c r="E99" s="2">
        <v>255.78</v>
      </c>
      <c r="F99" s="2">
        <v>316.67</v>
      </c>
      <c r="G99" s="2">
        <v>55.13</v>
      </c>
      <c r="H99" s="2"/>
      <c r="I99" s="2"/>
      <c r="J99" s="2"/>
      <c r="K99" s="2"/>
      <c r="L99" s="2"/>
      <c r="M99" s="2">
        <v>26.25</v>
      </c>
      <c r="N99" s="2">
        <v>500</v>
      </c>
      <c r="O99" s="2">
        <v>500</v>
      </c>
      <c r="P99" s="9"/>
      <c r="Q99" s="2">
        <f>SUM(OSRRefD21_18_0x)+IFERROR(SUM(OSRRefE21_18_0x),0)</f>
        <v>1653.83</v>
      </c>
    </row>
    <row r="100" spans="1:17" s="34" customFormat="1" hidden="1" outlineLevel="1" x14ac:dyDescent="0.25">
      <c r="A100" s="35"/>
      <c r="B100" s="10" t="str">
        <f>CONCATENATE("          ","6235", " - ","COVID-19 EXPENSES")</f>
        <v xml:space="preserve">          6235 - COVID-19 EXPENSES</v>
      </c>
      <c r="C100" s="11"/>
      <c r="D100" s="2">
        <v>743.09</v>
      </c>
      <c r="E100" s="2">
        <v>286.14999999999998</v>
      </c>
      <c r="F100" s="2">
        <v>127.89</v>
      </c>
      <c r="G100" s="2">
        <v>5932</v>
      </c>
      <c r="H100" s="2"/>
      <c r="I100" s="2"/>
      <c r="J100" s="2"/>
      <c r="K100" s="2"/>
      <c r="L100" s="2"/>
      <c r="M100" s="2">
        <v>65.45</v>
      </c>
      <c r="N100" s="2">
        <v>0</v>
      </c>
      <c r="O100" s="2">
        <v>0</v>
      </c>
      <c r="P100" s="9"/>
      <c r="Q100" s="2">
        <f>SUM(OSRRefD21_18_1x)+IFERROR(SUM(OSRRefE21_18_1x),0)</f>
        <v>7154.58</v>
      </c>
    </row>
    <row r="101" spans="1:17" s="34" customFormat="1" hidden="1" outlineLevel="1" x14ac:dyDescent="0.25">
      <c r="A101" s="35"/>
      <c r="B101" s="10" t="str">
        <f>CONCATENATE("          ","6237", " - ","JANITORIAL SUPPLIES")</f>
        <v xml:space="preserve">          6237 - JANITORIAL SUPPLIES</v>
      </c>
      <c r="C101" s="11"/>
      <c r="D101" s="2"/>
      <c r="E101" s="2"/>
      <c r="F101" s="2">
        <v>317.57</v>
      </c>
      <c r="G101" s="2">
        <v>268.05</v>
      </c>
      <c r="H101" s="2">
        <v>72</v>
      </c>
      <c r="I101" s="2">
        <v>18.86</v>
      </c>
      <c r="J101" s="2"/>
      <c r="K101" s="2"/>
      <c r="L101" s="2"/>
      <c r="M101" s="2"/>
      <c r="N101" s="2">
        <v>200</v>
      </c>
      <c r="O101" s="2">
        <v>200</v>
      </c>
      <c r="P101" s="9"/>
      <c r="Q101" s="2">
        <f>SUM(OSRRefD21_18_2x)+IFERROR(SUM(OSRRefE21_18_2x),0)</f>
        <v>1076.48</v>
      </c>
    </row>
    <row r="102" spans="1:17" s="34" customFormat="1" hidden="1" outlineLevel="1" x14ac:dyDescent="0.25">
      <c r="A102" s="35"/>
      <c r="B102" s="10" t="str">
        <f>CONCATENATE("          ","6239", " - ","KITCHEN SUPPLIES")</f>
        <v xml:space="preserve">          6239 - KITCHEN SUPPLIES</v>
      </c>
      <c r="C102" s="11"/>
      <c r="D102" s="2"/>
      <c r="E102" s="2"/>
      <c r="F102" s="2"/>
      <c r="G102" s="2">
        <v>19.829999999999998</v>
      </c>
      <c r="H102" s="2"/>
      <c r="I102" s="2"/>
      <c r="J102" s="2"/>
      <c r="K102" s="2"/>
      <c r="L102" s="2"/>
      <c r="M102" s="2"/>
      <c r="N102" s="2">
        <v>0</v>
      </c>
      <c r="O102" s="2">
        <v>0</v>
      </c>
      <c r="P102" s="9"/>
      <c r="Q102" s="2">
        <f>SUM(OSRRefD21_18_3x)+IFERROR(SUM(OSRRefE21_18_3x),0)</f>
        <v>19.829999999999998</v>
      </c>
    </row>
    <row r="103" spans="1:17" s="34" customFormat="1" hidden="1" outlineLevel="1" x14ac:dyDescent="0.25">
      <c r="A103" s="35"/>
      <c r="B103" s="10" t="str">
        <f>CONCATENATE("          ","6241", " - ","OFFICE EXPENSE")</f>
        <v xml:space="preserve">          6241 - OFFICE EXPENSE</v>
      </c>
      <c r="C103" s="11"/>
      <c r="D103" s="2">
        <v>-49.68</v>
      </c>
      <c r="E103" s="2">
        <v>-29159.45</v>
      </c>
      <c r="F103" s="2">
        <v>99.35</v>
      </c>
      <c r="G103" s="2">
        <v>117.75</v>
      </c>
      <c r="H103" s="2"/>
      <c r="I103" s="2">
        <v>5.5</v>
      </c>
      <c r="J103" s="2">
        <v>51.24</v>
      </c>
      <c r="K103" s="2">
        <v>82.73</v>
      </c>
      <c r="L103" s="2"/>
      <c r="M103" s="2">
        <v>440.72</v>
      </c>
      <c r="N103" s="2">
        <v>25</v>
      </c>
      <c r="O103" s="2">
        <v>25</v>
      </c>
      <c r="P103" s="9"/>
      <c r="Q103" s="2">
        <f>SUM(OSRRefD21_18_4x)+IFERROR(SUM(OSRRefE21_18_4x),0)</f>
        <v>-28361.84</v>
      </c>
    </row>
    <row r="104" spans="1:17" s="34" customFormat="1" hidden="1" outlineLevel="1" x14ac:dyDescent="0.25">
      <c r="A104" s="35"/>
      <c r="B104" s="10" t="str">
        <f>CONCATENATE("          ","6243", " - ","PAPER SUPPLIES")</f>
        <v xml:space="preserve">          6243 - PAPER SUPPLIES</v>
      </c>
      <c r="C104" s="11"/>
      <c r="D104" s="2"/>
      <c r="E104" s="2"/>
      <c r="F104" s="2"/>
      <c r="G104" s="2"/>
      <c r="H104" s="2"/>
      <c r="I104" s="2"/>
      <c r="J104" s="2">
        <v>65.489999999999995</v>
      </c>
      <c r="K104" s="2"/>
      <c r="L104" s="2">
        <v>94.92</v>
      </c>
      <c r="M104" s="2">
        <v>94.92</v>
      </c>
      <c r="N104" s="2">
        <v>250</v>
      </c>
      <c r="O104" s="2">
        <v>250</v>
      </c>
      <c r="P104" s="9"/>
      <c r="Q104" s="2">
        <f>SUM(OSRRefD21_18_5x)+IFERROR(SUM(OSRRefE21_18_5x),0)</f>
        <v>755.32999999999993</v>
      </c>
    </row>
    <row r="105" spans="1:17" s="34" customFormat="1" hidden="1" outlineLevel="1" x14ac:dyDescent="0.25">
      <c r="A105" s="35"/>
      <c r="B105" s="10" t="str">
        <f>CONCATENATE("          ","6244", " - ","SAFETY SUPPLY EXPENSE")</f>
        <v xml:space="preserve">          6244 - SAFETY SUPPLY EXPENSE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>
        <v>0</v>
      </c>
      <c r="O105" s="2">
        <v>0</v>
      </c>
      <c r="P105" s="9"/>
      <c r="Q105" s="2">
        <f>SUM(OSRRefD21_18_6x)+IFERROR(SUM(OSRRefE21_18_6x),0)</f>
        <v>0</v>
      </c>
    </row>
    <row r="106" spans="1:17" s="34" customFormat="1" hidden="1" outlineLevel="1" x14ac:dyDescent="0.25">
      <c r="A106" s="35"/>
      <c r="B106" s="10" t="str">
        <f>CONCATENATE("          ","6245", " - ","PRINTING")</f>
        <v xml:space="preserve">          6245 - PRINTING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>
        <v>0</v>
      </c>
      <c r="O106" s="2">
        <v>0</v>
      </c>
      <c r="P106" s="9"/>
      <c r="Q106" s="2">
        <f>SUM(OSRRefD21_18_7x)+IFERROR(SUM(OSRRefE21_18_7x),0)</f>
        <v>0</v>
      </c>
    </row>
    <row r="107" spans="1:17" s="34" customFormat="1" hidden="1" outlineLevel="1" x14ac:dyDescent="0.25">
      <c r="A107" s="35"/>
      <c r="B107" s="10" t="str">
        <f>CONCATENATE("          ","6246", " - ","REPLACEMENTS")</f>
        <v xml:space="preserve">          6246 - REPLACEMENTS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>
        <v>0</v>
      </c>
      <c r="O107" s="2">
        <v>0</v>
      </c>
      <c r="P107" s="9"/>
      <c r="Q107" s="2">
        <f>SUM(OSRRefD21_18_8x)+IFERROR(SUM(OSRRefE21_18_8x),0)</f>
        <v>0</v>
      </c>
    </row>
    <row r="108" spans="1:17" s="34" customFormat="1" hidden="1" outlineLevel="1" x14ac:dyDescent="0.25">
      <c r="A108" s="35"/>
      <c r="B108" s="10" t="str">
        <f>CONCATENATE("          ","6247", " - ","STORE SUPPLIES")</f>
        <v xml:space="preserve">          6247 - STORE SUPPLIES</v>
      </c>
      <c r="C108" s="11"/>
      <c r="D108" s="2"/>
      <c r="E108" s="2">
        <v>80.28</v>
      </c>
      <c r="F108" s="2"/>
      <c r="G108" s="2">
        <v>41</v>
      </c>
      <c r="H108" s="2"/>
      <c r="I108" s="2"/>
      <c r="J108" s="2"/>
      <c r="K108" s="2"/>
      <c r="L108" s="2"/>
      <c r="M108" s="2"/>
      <c r="N108" s="2">
        <v>0</v>
      </c>
      <c r="O108" s="2">
        <v>0</v>
      </c>
      <c r="P108" s="9"/>
      <c r="Q108" s="2">
        <f>SUM(OSRRefD21_18_9x)+IFERROR(SUM(OSRRefE21_18_9x),0)</f>
        <v>121.28</v>
      </c>
    </row>
    <row r="109" spans="1:17" s="34" customFormat="1" collapsed="1" x14ac:dyDescent="0.25">
      <c r="A109" s="35"/>
      <c r="B109" s="11" t="str">
        <f>CONCATENATE("     ","Telephone/Data Lines                              ")</f>
        <v xml:space="preserve">     Telephone/Data Lines                              </v>
      </c>
      <c r="C109" s="11"/>
      <c r="D109" s="1">
        <f>SUM(OSRRefD21_19x_0)</f>
        <v>1592.63</v>
      </c>
      <c r="E109" s="1">
        <f>SUM(OSRRefD21_19x_1)</f>
        <v>1617.52</v>
      </c>
      <c r="F109" s="1">
        <f>SUM(OSRRefD21_19x_2)</f>
        <v>967.5</v>
      </c>
      <c r="G109" s="1">
        <f>SUM(OSRRefD21_19x_3)</f>
        <v>1515.66</v>
      </c>
      <c r="H109" s="1">
        <f>SUM(OSRRefD21_19x_4)</f>
        <v>749.6</v>
      </c>
      <c r="I109" s="1">
        <f>SUM(OSRRefD21_19x_5)</f>
        <v>868.65</v>
      </c>
      <c r="J109" s="1">
        <f>SUM(OSRRefD21_19x_6)</f>
        <v>573.5</v>
      </c>
      <c r="K109" s="1">
        <f>SUM(OSRRefD21_19x_7)</f>
        <v>323.79000000000002</v>
      </c>
      <c r="L109" s="1">
        <f>SUM(OSRRefD21_19x_8)</f>
        <v>581.45000000000005</v>
      </c>
      <c r="M109" s="1">
        <f>SUM(OSRRefD21_19x_9)</f>
        <v>574.1</v>
      </c>
      <c r="N109" s="1">
        <f>SUM(OSRRefE21_19x_0)</f>
        <v>350</v>
      </c>
      <c r="O109" s="1">
        <f>SUM(OSRRefE21_19x_1)</f>
        <v>500</v>
      </c>
      <c r="Q109" s="2">
        <f>SUM(OSRRefD20_19x)+IFERROR(SUM(OSRRefE20_19x),0)</f>
        <v>10214.400000000001</v>
      </c>
    </row>
    <row r="110" spans="1:17" s="34" customFormat="1" hidden="1" outlineLevel="1" x14ac:dyDescent="0.25">
      <c r="A110" s="35"/>
      <c r="B110" s="10" t="str">
        <f>CONCATENATE("          ","6303", " - ","DATA PHONE LINES")</f>
        <v xml:space="preserve">          6303 - DATA PHONE LINES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>
        <v>250</v>
      </c>
      <c r="O110" s="2">
        <v>250</v>
      </c>
      <c r="P110" s="9"/>
      <c r="Q110" s="2">
        <f>SUM(OSRRefD21_19_0x)+IFERROR(SUM(OSRRefE21_19_0x),0)</f>
        <v>500</v>
      </c>
    </row>
    <row r="111" spans="1:17" s="34" customFormat="1" hidden="1" outlineLevel="1" x14ac:dyDescent="0.25">
      <c r="A111" s="35"/>
      <c r="B111" s="10" t="str">
        <f>CONCATENATE("          ","6309", " - ","TELEPHONE")</f>
        <v xml:space="preserve">          6309 - TELEPHONE</v>
      </c>
      <c r="C111" s="11"/>
      <c r="D111" s="2">
        <v>1592.63</v>
      </c>
      <c r="E111" s="2">
        <v>1617.52</v>
      </c>
      <c r="F111" s="2">
        <v>967.5</v>
      </c>
      <c r="G111" s="2">
        <v>1515.66</v>
      </c>
      <c r="H111" s="2">
        <v>749.6</v>
      </c>
      <c r="I111" s="2">
        <v>868.65</v>
      </c>
      <c r="J111" s="2">
        <v>573.5</v>
      </c>
      <c r="K111" s="2">
        <v>323.79000000000002</v>
      </c>
      <c r="L111" s="2">
        <v>581.45000000000005</v>
      </c>
      <c r="M111" s="2">
        <v>574.1</v>
      </c>
      <c r="N111" s="2">
        <v>100</v>
      </c>
      <c r="O111" s="2">
        <v>250</v>
      </c>
      <c r="P111" s="9"/>
      <c r="Q111" s="2">
        <f>SUM(OSRRefD21_19_1x)+IFERROR(SUM(OSRRefE21_19_1x),0)</f>
        <v>9714.4000000000015</v>
      </c>
    </row>
    <row r="112" spans="1:17" s="34" customFormat="1" collapsed="1" x14ac:dyDescent="0.25">
      <c r="A112" s="35"/>
      <c r="B112" s="11" t="str">
        <f>CONCATENATE("     ","Training                                          ")</f>
        <v xml:space="preserve">     Training                                          </v>
      </c>
      <c r="C112" s="11"/>
      <c r="D112" s="1">
        <f>SUM(OSRRefD21_20x_0)</f>
        <v>0</v>
      </c>
      <c r="E112" s="1">
        <f>SUM(OSRRefD21_20x_1)</f>
        <v>0</v>
      </c>
      <c r="F112" s="1">
        <f>SUM(OSRRefD21_20x_2)</f>
        <v>0</v>
      </c>
      <c r="G112" s="1">
        <f>SUM(OSRRefD21_20x_3)</f>
        <v>0</v>
      </c>
      <c r="H112" s="1">
        <f>SUM(OSRRefD21_20x_4)</f>
        <v>400</v>
      </c>
      <c r="I112" s="1">
        <f>SUM(OSRRefD21_20x_5)</f>
        <v>0</v>
      </c>
      <c r="J112" s="1">
        <f>SUM(OSRRefD21_20x_6)</f>
        <v>0</v>
      </c>
      <c r="K112" s="1">
        <f>SUM(OSRRefD21_20x_7)</f>
        <v>0</v>
      </c>
      <c r="L112" s="1">
        <f>SUM(OSRRefD21_20x_8)</f>
        <v>0</v>
      </c>
      <c r="M112" s="1">
        <f>SUM(OSRRefD21_20x_9)</f>
        <v>0</v>
      </c>
      <c r="N112" s="1">
        <f>SUM(OSRRefE21_20x_0)</f>
        <v>0</v>
      </c>
      <c r="O112" s="1">
        <f>SUM(OSRRefE21_20x_1)</f>
        <v>0</v>
      </c>
      <c r="Q112" s="2">
        <f>SUM(OSRRefD20_20x)+IFERROR(SUM(OSRRefE20_20x),0)</f>
        <v>400</v>
      </c>
    </row>
    <row r="113" spans="1:17" s="34" customFormat="1" hidden="1" outlineLevel="1" x14ac:dyDescent="0.25">
      <c r="A113" s="35"/>
      <c r="B113" s="10" t="str">
        <f>CONCATENATE("          ","6376", " - ","TRAINING")</f>
        <v xml:space="preserve">          6376 - TRAINING</v>
      </c>
      <c r="C113" s="11"/>
      <c r="D113" s="2"/>
      <c r="E113" s="2"/>
      <c r="F113" s="2"/>
      <c r="G113" s="2"/>
      <c r="H113" s="2">
        <v>400</v>
      </c>
      <c r="I113" s="2"/>
      <c r="J113" s="2"/>
      <c r="K113" s="2"/>
      <c r="L113" s="2"/>
      <c r="M113" s="2"/>
      <c r="N113" s="2">
        <v>0</v>
      </c>
      <c r="O113" s="2">
        <v>0</v>
      </c>
      <c r="P113" s="9"/>
      <c r="Q113" s="2">
        <f>SUM(OSRRefD21_20_0x)+IFERROR(SUM(OSRRefE21_20_0x),0)</f>
        <v>400</v>
      </c>
    </row>
    <row r="114" spans="1:17" s="34" customFormat="1" collapsed="1" x14ac:dyDescent="0.25">
      <c r="A114" s="35"/>
      <c r="B114" s="11" t="str">
        <f>CONCATENATE("     ","Travel                                            ")</f>
        <v xml:space="preserve">     Travel                                            </v>
      </c>
      <c r="C114" s="11"/>
      <c r="D114" s="1">
        <f>SUM(OSRRefD21_21x_0)</f>
        <v>179.69</v>
      </c>
      <c r="E114" s="1">
        <f>SUM(OSRRefD21_21x_1)</f>
        <v>0</v>
      </c>
      <c r="F114" s="1">
        <f>SUM(OSRRefD21_21x_2)</f>
        <v>152.52000000000001</v>
      </c>
      <c r="G114" s="1">
        <f>SUM(OSRRefD21_21x_3)</f>
        <v>0</v>
      </c>
      <c r="H114" s="1">
        <f>SUM(OSRRefD21_21x_4)</f>
        <v>0</v>
      </c>
      <c r="I114" s="1">
        <f>SUM(OSRRefD21_21x_5)</f>
        <v>0</v>
      </c>
      <c r="J114" s="1">
        <f>SUM(OSRRefD21_21x_6)</f>
        <v>0</v>
      </c>
      <c r="K114" s="1">
        <f>SUM(OSRRefD21_21x_7)</f>
        <v>0</v>
      </c>
      <c r="L114" s="1">
        <f>SUM(OSRRefD21_21x_8)</f>
        <v>0</v>
      </c>
      <c r="M114" s="1">
        <f>SUM(OSRRefD21_21x_9)</f>
        <v>0</v>
      </c>
      <c r="N114" s="1">
        <f>SUM(OSRRefE21_21x_0)</f>
        <v>0</v>
      </c>
      <c r="O114" s="1">
        <f>SUM(OSRRefE21_21x_1)</f>
        <v>0</v>
      </c>
      <c r="Q114" s="2">
        <f>SUM(OSRRefD20_21x)+IFERROR(SUM(OSRRefE20_21x),0)</f>
        <v>332.21000000000004</v>
      </c>
    </row>
    <row r="115" spans="1:17" s="34" customFormat="1" hidden="1" outlineLevel="1" x14ac:dyDescent="0.25">
      <c r="A115" s="35"/>
      <c r="B115" s="10" t="str">
        <f>CONCATENATE("          ","6298", " - ","VEHICLE MILEAGE")</f>
        <v xml:space="preserve">          6298 - VEHICLE MILEAGE</v>
      </c>
      <c r="C115" s="11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SUM(OSRRefD21_21_0x)+IFERROR(SUM(OSRRefE21_21_0x),0)</f>
        <v>332.21000000000004</v>
      </c>
    </row>
    <row r="116" spans="1:17" s="34" customFormat="1" collapsed="1" x14ac:dyDescent="0.25">
      <c r="A116" s="35"/>
      <c r="B116" s="11" t="str">
        <f>CONCATENATE("     ","Utilities                                         ")</f>
        <v xml:space="preserve">     Utilities                                         </v>
      </c>
      <c r="C116" s="11"/>
      <c r="D116" s="1">
        <f>SUM(OSRRefD21_22x_0)</f>
        <v>2350</v>
      </c>
      <c r="E116" s="1">
        <f>SUM(OSRRefD21_22x_1)</f>
        <v>2350</v>
      </c>
      <c r="F116" s="1">
        <f>SUM(OSRRefD21_22x_2)</f>
        <v>2350</v>
      </c>
      <c r="G116" s="1">
        <f>SUM(OSRRefD21_22x_3)</f>
        <v>-12092</v>
      </c>
      <c r="H116" s="1">
        <f>SUM(OSRRefD21_22x_4)</f>
        <v>4796</v>
      </c>
      <c r="I116" s="1">
        <f>SUM(OSRRefD21_22x_5)</f>
        <v>4796</v>
      </c>
      <c r="J116" s="1">
        <f>SUM(OSRRefD21_22x_6)</f>
        <v>4796</v>
      </c>
      <c r="K116" s="1">
        <f>SUM(OSRRefD21_22x_7)</f>
        <v>4796</v>
      </c>
      <c r="L116" s="1">
        <f>SUM(OSRRefD21_22x_8)</f>
        <v>-10954</v>
      </c>
      <c r="M116" s="1">
        <f>SUM(OSRRefD21_22x_9)</f>
        <v>4784</v>
      </c>
      <c r="N116" s="1">
        <f>SUM(OSRRefE21_22x_0)</f>
        <v>4150</v>
      </c>
      <c r="O116" s="1">
        <f>SUM(OSRRefE21_22x_1)</f>
        <v>4150</v>
      </c>
      <c r="Q116" s="2">
        <f>SUM(OSRRefD20_22x)+IFERROR(SUM(OSRRefE20_22x),0)</f>
        <v>16272</v>
      </c>
    </row>
    <row r="117" spans="1:17" s="34" customFormat="1" hidden="1" outlineLevel="1" x14ac:dyDescent="0.25">
      <c r="A117" s="35"/>
      <c r="B117" s="10" t="str">
        <f>CONCATENATE("          ","6274", " - ","UTILITIES")</f>
        <v xml:space="preserve">          6274 - UTILITIES</v>
      </c>
      <c r="C117" s="11"/>
      <c r="D117" s="2">
        <v>2350</v>
      </c>
      <c r="E117" s="2">
        <v>2350</v>
      </c>
      <c r="F117" s="2">
        <v>2350</v>
      </c>
      <c r="G117" s="2">
        <v>-12092</v>
      </c>
      <c r="H117" s="2">
        <v>4796</v>
      </c>
      <c r="I117" s="2">
        <v>4796</v>
      </c>
      <c r="J117" s="2">
        <v>4796</v>
      </c>
      <c r="K117" s="2">
        <v>4796</v>
      </c>
      <c r="L117" s="2">
        <v>-10954</v>
      </c>
      <c r="M117" s="2">
        <v>4784</v>
      </c>
      <c r="N117" s="2">
        <v>4150</v>
      </c>
      <c r="O117" s="2">
        <v>4150</v>
      </c>
      <c r="P117" s="9"/>
      <c r="Q117" s="2">
        <f>SUM(OSRRefD21_22_0x)+IFERROR(SUM(OSRRefE21_22_0x),0)</f>
        <v>16272</v>
      </c>
    </row>
    <row r="118" spans="1:17" s="30" customFormat="1" x14ac:dyDescent="0.25">
      <c r="A118" s="21"/>
      <c r="B118" s="21"/>
      <c r="C118" s="2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25">
      <c r="A119" s="23"/>
      <c r="B119" s="16" t="s">
        <v>291</v>
      </c>
      <c r="C119" s="22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f>--173.47</f>
        <v>173.47</v>
      </c>
      <c r="I119" s="3">
        <f>--11120.8</f>
        <v>11120.8</v>
      </c>
      <c r="J119" s="3">
        <f>--976.87</f>
        <v>976.87</v>
      </c>
      <c r="K119" s="3">
        <f>--1400.88</f>
        <v>1400.88</v>
      </c>
      <c r="L119" s="3">
        <f>--3116.44</f>
        <v>3116.44</v>
      </c>
      <c r="M119" s="3">
        <f>--1579.74</f>
        <v>1579.74</v>
      </c>
      <c r="N119" s="3">
        <v>0</v>
      </c>
      <c r="O119" s="3">
        <v>12000</v>
      </c>
      <c r="Q119" s="2">
        <f>SUM(OSRRefD23_0x)+IFERROR(SUM(OSRRefE23_0x),0)</f>
        <v>34445.4</v>
      </c>
    </row>
    <row r="120" spans="1:17" x14ac:dyDescent="0.25">
      <c r="A120" s="5"/>
      <c r="B120" s="6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25">
      <c r="A121" s="6"/>
      <c r="B121" s="17" t="s">
        <v>274</v>
      </c>
      <c r="C121" s="17"/>
      <c r="D121" s="8">
        <f t="shared" ref="D121:O121" si="15">IFERROR(+D30-D33+D119, 0)</f>
        <v>-159121.91000000003</v>
      </c>
      <c r="E121" s="8">
        <f t="shared" si="15"/>
        <v>-110737.59999999999</v>
      </c>
      <c r="F121" s="8">
        <f t="shared" si="15"/>
        <v>-140585.00999999998</v>
      </c>
      <c r="G121" s="8">
        <f t="shared" si="15"/>
        <v>-118845.23000000004</v>
      </c>
      <c r="H121" s="8">
        <f t="shared" si="15"/>
        <v>-76140.66</v>
      </c>
      <c r="I121" s="8">
        <f t="shared" si="15"/>
        <v>-57237.210000000006</v>
      </c>
      <c r="J121" s="8">
        <f t="shared" si="15"/>
        <v>-45871.459999999985</v>
      </c>
      <c r="K121" s="8">
        <f t="shared" si="15"/>
        <v>-86315.689999999988</v>
      </c>
      <c r="L121" s="8">
        <f t="shared" si="15"/>
        <v>-45704.9</v>
      </c>
      <c r="M121" s="8">
        <f t="shared" si="15"/>
        <v>-66588.63</v>
      </c>
      <c r="N121" s="8">
        <f t="shared" si="15"/>
        <v>-118900.95195340001</v>
      </c>
      <c r="O121" s="8">
        <f t="shared" si="15"/>
        <v>-106882.91313016924</v>
      </c>
      <c r="Q121" s="8">
        <f>IFERROR(+Q30-Q33+Q119, 0)</f>
        <v>-1132932.1650835688</v>
      </c>
    </row>
    <row r="122" spans="1:17" s="6" customFormat="1" x14ac:dyDescent="0.25">
      <c r="B122" s="16"/>
      <c r="C122" s="16"/>
      <c r="D122" s="4">
        <f t="shared" ref="D122:O122" si="16">IFERROR(D121/D10, 0)</f>
        <v>-163.21702516129699</v>
      </c>
      <c r="E122" s="4">
        <f t="shared" si="16"/>
        <v>-19.978134347476253</v>
      </c>
      <c r="F122" s="4">
        <f t="shared" si="16"/>
        <v>-13.465842346639693</v>
      </c>
      <c r="G122" s="4">
        <f t="shared" si="16"/>
        <v>-2.7307622314795887</v>
      </c>
      <c r="H122" s="4">
        <f t="shared" si="16"/>
        <v>-1.1868865604110515</v>
      </c>
      <c r="I122" s="4">
        <f t="shared" si="16"/>
        <v>-0.79308856961499674</v>
      </c>
      <c r="J122" s="4">
        <f t="shared" si="16"/>
        <v>-0.55890734958657751</v>
      </c>
      <c r="K122" s="4">
        <f t="shared" si="16"/>
        <v>-1.7223541079059241</v>
      </c>
      <c r="L122" s="4">
        <f t="shared" si="16"/>
        <v>-0.79673787379909433</v>
      </c>
      <c r="M122" s="4">
        <f t="shared" si="16"/>
        <v>-0.91043557835041111</v>
      </c>
      <c r="N122" s="4">
        <f t="shared" si="16"/>
        <v>-19.714964674747144</v>
      </c>
      <c r="O122" s="4">
        <f t="shared" si="16"/>
        <v>-18.913982150091886</v>
      </c>
      <c r="P122" s="18"/>
      <c r="Q122" s="4">
        <f>IFERROR(Q121/Q10, 0)</f>
        <v>-2.404481587632628</v>
      </c>
    </row>
    <row r="123" spans="1:17" x14ac:dyDescent="0.25">
      <c r="A123" s="5"/>
      <c r="B123" s="6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x14ac:dyDescent="0.25">
      <c r="A124" s="25"/>
      <c r="B124" s="6" t="s">
        <v>125</v>
      </c>
      <c r="C124" s="6"/>
      <c r="D124" s="3">
        <v>468.88</v>
      </c>
      <c r="E124" s="3">
        <v>631.57000000000005</v>
      </c>
      <c r="F124" s="3">
        <v>2041.11</v>
      </c>
      <c r="G124" s="3">
        <v>9959.48</v>
      </c>
      <c r="H124" s="3">
        <v>6709.09</v>
      </c>
      <c r="I124" s="3">
        <v>16602.12</v>
      </c>
      <c r="J124" s="3">
        <v>14210.76</v>
      </c>
      <c r="K124" s="3">
        <v>14528.56</v>
      </c>
      <c r="L124" s="3">
        <v>14472.7</v>
      </c>
      <c r="M124" s="3">
        <v>16503.580000000002</v>
      </c>
      <c r="N124" s="3">
        <v>2874</v>
      </c>
      <c r="O124" s="3">
        <v>2666</v>
      </c>
      <c r="Q124" s="2">
        <f>SUM(OSRRefD28_0x)+IFERROR(SUM(OSRRefE28_0x),0)</f>
        <v>101667.85</v>
      </c>
    </row>
    <row r="125" spans="1:17" x14ac:dyDescent="0.25">
      <c r="A125" s="5"/>
      <c r="B125" s="6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.75" thickBot="1" x14ac:dyDescent="0.3">
      <c r="A126" s="6"/>
      <c r="B126" s="17" t="s">
        <v>124</v>
      </c>
      <c r="C126" s="17"/>
      <c r="D126" s="7">
        <f t="shared" ref="D126:O126" si="17">IFERROR(+D121-D124, 0)</f>
        <v>-159590.79000000004</v>
      </c>
      <c r="E126" s="7">
        <f t="shared" si="17"/>
        <v>-111369.17</v>
      </c>
      <c r="F126" s="7">
        <f t="shared" si="17"/>
        <v>-142626.11999999997</v>
      </c>
      <c r="G126" s="7">
        <f t="shared" si="17"/>
        <v>-128804.71000000004</v>
      </c>
      <c r="H126" s="7">
        <f t="shared" si="17"/>
        <v>-82849.75</v>
      </c>
      <c r="I126" s="7">
        <f t="shared" si="17"/>
        <v>-73839.33</v>
      </c>
      <c r="J126" s="7">
        <f t="shared" si="17"/>
        <v>-60082.219999999987</v>
      </c>
      <c r="K126" s="7">
        <f t="shared" si="17"/>
        <v>-100844.24999999999</v>
      </c>
      <c r="L126" s="7">
        <f t="shared" si="17"/>
        <v>-60177.600000000006</v>
      </c>
      <c r="M126" s="7">
        <f t="shared" si="17"/>
        <v>-83092.210000000006</v>
      </c>
      <c r="N126" s="7">
        <f t="shared" si="17"/>
        <v>-121774.95195340001</v>
      </c>
      <c r="O126" s="7">
        <f t="shared" si="17"/>
        <v>-109548.91313016924</v>
      </c>
      <c r="Q126" s="7">
        <f>IFERROR(+Q121-Q124, 0)</f>
        <v>-1234600.0150835689</v>
      </c>
    </row>
    <row r="127" spans="1:17" ht="15.75" thickTop="1" x14ac:dyDescent="0.25">
      <c r="A127" s="5"/>
      <c r="B127" s="5"/>
      <c r="C127" s="5"/>
      <c r="D127" s="4">
        <f t="shared" ref="D127:O127" si="18">IFERROR(D126/D10, 0)</f>
        <v>-163.69797212050347</v>
      </c>
      <c r="E127" s="4">
        <f t="shared" si="18"/>
        <v>-20.092075685466561</v>
      </c>
      <c r="F127" s="4">
        <f t="shared" si="18"/>
        <v>-13.661348720129652</v>
      </c>
      <c r="G127" s="4">
        <f t="shared" si="18"/>
        <v>-2.959605844548252</v>
      </c>
      <c r="H127" s="4">
        <f t="shared" si="18"/>
        <v>-1.2914683798172424</v>
      </c>
      <c r="I127" s="4">
        <f t="shared" si="18"/>
        <v>-1.0231303833822387</v>
      </c>
      <c r="J127" s="4">
        <f t="shared" si="18"/>
        <v>-0.73205418657870625</v>
      </c>
      <c r="K127" s="4">
        <f t="shared" si="18"/>
        <v>-2.0122588169797635</v>
      </c>
      <c r="L127" s="4">
        <f t="shared" si="18"/>
        <v>-1.0490291648014192</v>
      </c>
      <c r="M127" s="4">
        <f t="shared" si="18"/>
        <v>-1.1360814041040312</v>
      </c>
      <c r="N127" s="4">
        <f t="shared" si="18"/>
        <v>-20.191502562327976</v>
      </c>
      <c r="O127" s="4">
        <f t="shared" si="18"/>
        <v>-19.385757057187973</v>
      </c>
      <c r="P127" s="18"/>
      <c r="Q127" s="4">
        <f>IFERROR(Q126/Q10, 0)</f>
        <v>-2.6202566189304322</v>
      </c>
    </row>
    <row r="128" spans="1:17" x14ac:dyDescent="0.2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2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5" customFormat="1" ht="15.75" thickBot="1" x14ac:dyDescent="0.3">
      <c r="A130" s="6"/>
      <c r="B130" s="17" t="s">
        <v>292</v>
      </c>
      <c r="C130" s="17"/>
      <c r="D130" s="7">
        <f t="shared" ref="D130:O130" si="19">IFERROR(SUM(D126:D129), 0)</f>
        <v>-159754.48797212055</v>
      </c>
      <c r="E130" s="7">
        <f t="shared" si="19"/>
        <v>-111389.26207568546</v>
      </c>
      <c r="F130" s="7">
        <f t="shared" si="19"/>
        <v>-142639.78134872011</v>
      </c>
      <c r="G130" s="7">
        <f t="shared" si="19"/>
        <v>-128807.66960584458</v>
      </c>
      <c r="H130" s="7">
        <f t="shared" si="19"/>
        <v>-82851.041468379815</v>
      </c>
      <c r="I130" s="7">
        <f t="shared" si="19"/>
        <v>-73840.353130383388</v>
      </c>
      <c r="J130" s="7">
        <f t="shared" si="19"/>
        <v>-60082.952054186564</v>
      </c>
      <c r="K130" s="7">
        <f t="shared" si="19"/>
        <v>-100846.26225881696</v>
      </c>
      <c r="L130" s="7">
        <f t="shared" si="19"/>
        <v>-60178.649029164808</v>
      </c>
      <c r="M130" s="7">
        <f t="shared" si="19"/>
        <v>-83093.346081404117</v>
      </c>
      <c r="N130" s="7">
        <f t="shared" si="19"/>
        <v>-121795.14345596234</v>
      </c>
      <c r="O130" s="7">
        <f t="shared" si="19"/>
        <v>-109568.29888722642</v>
      </c>
      <c r="Q130" s="7">
        <f>IFERROR(SUM(Q126:Q129), 0)</f>
        <v>-1234602.6353401877</v>
      </c>
    </row>
    <row r="131" spans="1:17" ht="15.75" thickTop="1" x14ac:dyDescent="0.25">
      <c r="A131" s="5"/>
      <c r="C131" s="5"/>
      <c r="D131" s="4">
        <f t="shared" ref="D131:O131" si="20">IFERROR(D130/D10, 0)</f>
        <v>-163.86588297598809</v>
      </c>
      <c r="E131" s="4">
        <f t="shared" si="20"/>
        <v>-20.095700490296753</v>
      </c>
      <c r="F131" s="4">
        <f t="shared" si="20"/>
        <v>-13.662657263395451</v>
      </c>
      <c r="G131" s="4">
        <f t="shared" si="20"/>
        <v>-2.9596738487909162</v>
      </c>
      <c r="H131" s="4">
        <f t="shared" si="20"/>
        <v>-1.291488511327308</v>
      </c>
      <c r="I131" s="4">
        <f t="shared" si="20"/>
        <v>-1.0231445600517914</v>
      </c>
      <c r="J131" s="4">
        <f t="shared" si="20"/>
        <v>-0.73206310607822012</v>
      </c>
      <c r="K131" s="4">
        <f t="shared" si="20"/>
        <v>-2.0122989698446663</v>
      </c>
      <c r="L131" s="4">
        <f t="shared" si="20"/>
        <v>-1.0490474517086505</v>
      </c>
      <c r="M131" s="4">
        <f t="shared" si="20"/>
        <v>-1.1360969372202734</v>
      </c>
      <c r="N131" s="4">
        <f t="shared" si="20"/>
        <v>-20.194850514999558</v>
      </c>
      <c r="O131" s="4">
        <f t="shared" si="20"/>
        <v>-19.389187557463533</v>
      </c>
      <c r="P131" s="18"/>
      <c r="Q131" s="4">
        <f>IFERROR(Q130/Q10, 0)</f>
        <v>-2.6202621800390218</v>
      </c>
    </row>
    <row r="132" spans="1:17" x14ac:dyDescent="0.25">
      <c r="A132" s="5"/>
      <c r="B132" s="27">
        <v>44330.012668483796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Q132" s="13"/>
    </row>
    <row r="133" spans="1:17" x14ac:dyDescent="0.25">
      <c r="A133" s="5"/>
      <c r="B133" s="31" t="s">
        <v>54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Q133" s="13"/>
    </row>
    <row r="134" spans="1:17" x14ac:dyDescent="0.25">
      <c r="A134" s="5"/>
      <c r="B134" s="26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Q134" s="13"/>
    </row>
    <row r="135" spans="1:17" x14ac:dyDescent="0.25"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Q13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103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49980.95</v>
      </c>
      <c r="L10" s="3">
        <f>SUM(OSRRefD11x_8)</f>
        <v>57264.49</v>
      </c>
      <c r="M10" s="3">
        <f>SUM(OSRRefD11x_9)</f>
        <v>73087.41</v>
      </c>
      <c r="N10" s="3">
        <f>SUM(OSRRefE11x_0)</f>
        <v>5300</v>
      </c>
      <c r="O10" s="3">
        <f>SUM(OSRRefE11x_1)</f>
        <v>5500</v>
      </c>
      <c r="P10" s="24"/>
      <c r="Q10" s="3">
        <f>SUM(OSRRefG11x)</f>
        <v>467420.31000000006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M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1648</v>
      </c>
      <c r="O11" s="2">
        <v>1711</v>
      </c>
      <c r="Q11" s="2">
        <f>SUM(OSRRefD11_0x)+IFERROR(SUM(OSRRefE11_0x),0)</f>
        <v>3359</v>
      </c>
    </row>
    <row r="12" spans="1:18" s="9" customFormat="1" hidden="1" outlineLevel="1" x14ac:dyDescent="0.25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/>
      <c r="O12" s="2"/>
      <c r="Q12" s="2">
        <f>SUM(OSRRefD11_1x)+IFERROR(SUM(OSRRefE11_1x),0)</f>
        <v>32121.26</v>
      </c>
    </row>
    <row r="13" spans="1:18" s="9" customFormat="1" hidden="1" outlineLevel="1" x14ac:dyDescent="0.25">
      <c r="A13" s="23"/>
      <c r="B13" s="10" t="str">
        <f>CONCATENATE("          ","4052", " - ","TAXABLE SALES-FOOD")</f>
        <v xml:space="preserve">          4052 - TAXABLE SALES-FOOD</v>
      </c>
      <c r="C13" s="22"/>
      <c r="D13" s="2">
        <f t="shared" si="0"/>
        <v>0</v>
      </c>
      <c r="E13" s="2">
        <f t="shared" ref="E13:F15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>
        <f>--48734.68</f>
        <v>48734.68</v>
      </c>
      <c r="N13" s="2"/>
      <c r="O13" s="2"/>
      <c r="Q13" s="2">
        <f>SUM(OSRRefD11_2x)+IFERROR(SUM(OSRRefE11_2x),0)</f>
        <v>380674.79000000004</v>
      </c>
    </row>
    <row r="14" spans="1:18" s="9" customFormat="1" hidden="1" outlineLevel="1" x14ac:dyDescent="0.25">
      <c r="A14" s="23"/>
      <c r="B14" s="10" t="str">
        <f>CONCATENATE("          ","4058", " - ","TAXABLE SALES-FOOD")</f>
        <v xml:space="preserve">          4058 - TAXABLE SALES-FOOD</v>
      </c>
      <c r="C14" s="22"/>
      <c r="D14" s="2">
        <f>--974.91</f>
        <v>974.91</v>
      </c>
      <c r="E14" s="2">
        <f t="shared" si="3"/>
        <v>0</v>
      </c>
      <c r="F14" s="2">
        <f t="shared" si="3"/>
        <v>0</v>
      </c>
      <c r="G14" s="2">
        <f t="shared" ref="G14:M15" si="4">0</f>
        <v>0</v>
      </c>
      <c r="H14" s="2">
        <f t="shared" si="4"/>
        <v>0</v>
      </c>
      <c r="I14" s="2">
        <f t="shared" si="4"/>
        <v>0</v>
      </c>
      <c r="J14" s="2">
        <f t="shared" si="4"/>
        <v>0</v>
      </c>
      <c r="K14" s="2">
        <f t="shared" si="4"/>
        <v>0</v>
      </c>
      <c r="L14" s="2">
        <f t="shared" si="4"/>
        <v>0</v>
      </c>
      <c r="M14" s="2">
        <f t="shared" si="4"/>
        <v>0</v>
      </c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25">
      <c r="A15" s="23"/>
      <c r="B15" s="10" t="str">
        <f>CONCATENATE("          ","4100", " - ","NON-TAXABLE SALES")</f>
        <v xml:space="preserve">          4100 - NON-TAXABLE SALES</v>
      </c>
      <c r="C15" s="22"/>
      <c r="D15" s="2">
        <f t="shared" ref="D15:D17" si="5">0</f>
        <v>0</v>
      </c>
      <c r="E15" s="2">
        <f t="shared" si="3"/>
        <v>0</v>
      </c>
      <c r="F15" s="2">
        <f t="shared" si="3"/>
        <v>0</v>
      </c>
      <c r="G15" s="2">
        <f t="shared" si="4"/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v>3652</v>
      </c>
      <c r="O15" s="2">
        <v>3789</v>
      </c>
      <c r="Q15" s="2">
        <f>SUM(OSRRefD11_4x)+IFERROR(SUM(OSRRefE11_4x),0)</f>
        <v>7441</v>
      </c>
    </row>
    <row r="16" spans="1:18" s="9" customFormat="1" hidden="1" outlineLevel="1" x14ac:dyDescent="0.25">
      <c r="A16" s="23"/>
      <c r="B16" s="10" t="str">
        <f>CONCATENATE("          ","4151", " - ","NON-TAXABLE SALES-FOOD")</f>
        <v xml:space="preserve">          4151 - NON-TAXABLE SALES-FOOD</v>
      </c>
      <c r="C16" s="22"/>
      <c r="D16" s="2">
        <f t="shared" si="5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>
        <f t="shared" ref="J16:K17" si="6">0</f>
        <v>0</v>
      </c>
      <c r="K16" s="2">
        <f t="shared" si="6"/>
        <v>0</v>
      </c>
      <c r="L16" s="2">
        <f>--2877.6</f>
        <v>2877.6</v>
      </c>
      <c r="M16" s="2">
        <f>--6219.58</f>
        <v>6219.58</v>
      </c>
      <c r="N16" s="2"/>
      <c r="O16" s="2"/>
      <c r="Q16" s="2">
        <f>SUM(OSRRefD11_5x)+IFERROR(SUM(OSRRefE11_5x),0)</f>
        <v>31268.400000000001</v>
      </c>
    </row>
    <row r="17" spans="1:17" s="9" customFormat="1" hidden="1" outlineLevel="1" x14ac:dyDescent="0.25">
      <c r="A17" s="23"/>
      <c r="B17" s="10" t="str">
        <f>CONCATENATE("          ","4152", " - ","NON-TAXABLE SALES-FOOD")</f>
        <v xml:space="preserve">          4152 - NON-TAXABLE SALES-FOOD</v>
      </c>
      <c r="C17" s="22"/>
      <c r="D17" s="2">
        <f t="shared" si="5"/>
        <v>0</v>
      </c>
      <c r="E17" s="2">
        <f t="shared" ref="E17:I17" si="7">0</f>
        <v>0</v>
      </c>
      <c r="F17" s="2">
        <f t="shared" si="7"/>
        <v>0</v>
      </c>
      <c r="G17" s="2">
        <f t="shared" si="7"/>
        <v>0</v>
      </c>
      <c r="H17" s="2">
        <f t="shared" si="7"/>
        <v>0</v>
      </c>
      <c r="I17" s="2">
        <f t="shared" si="7"/>
        <v>0</v>
      </c>
      <c r="J17" s="2">
        <f t="shared" si="6"/>
        <v>0</v>
      </c>
      <c r="K17" s="2">
        <f t="shared" si="6"/>
        <v>0</v>
      </c>
      <c r="L17" s="2">
        <f>0</f>
        <v>0</v>
      </c>
      <c r="M17" s="2">
        <f>--11580.95</f>
        <v>11580.95</v>
      </c>
      <c r="N17" s="2"/>
      <c r="O17" s="2"/>
      <c r="Q17" s="2">
        <f>SUM(OSRRefD11_6x)+IFERROR(SUM(OSRRefE11_6x),0)</f>
        <v>11580.95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3"/>
      <c r="B19" s="16" t="s">
        <v>217</v>
      </c>
      <c r="C19" s="22"/>
      <c r="D19" s="3">
        <f>SUM(OSRRefD14x_0)</f>
        <v>0</v>
      </c>
      <c r="E19" s="3">
        <f>SUM(OSRRefD14x_1)</f>
        <v>4245.9399999999996</v>
      </c>
      <c r="F19" s="3">
        <f>SUM(OSRRefD14x_2)</f>
        <v>1770.46</v>
      </c>
      <c r="G19" s="3">
        <f>SUM(OSRRefD14x_3)</f>
        <v>5796.07</v>
      </c>
      <c r="H19" s="3">
        <f>SUM(OSRRefD14x_4)</f>
        <v>2843.9300000000003</v>
      </c>
      <c r="I19" s="3">
        <f>SUM(OSRRefD14x_5)</f>
        <v>4197.08</v>
      </c>
      <c r="J19" s="3">
        <f>SUM(OSRRefD14x_6)</f>
        <v>1319.87</v>
      </c>
      <c r="K19" s="3">
        <f>SUM(OSRRefD14x_7)</f>
        <v>-4319.1099999999997</v>
      </c>
      <c r="L19" s="3">
        <f>SUM(OSRRefD14x_8)</f>
        <v>-6210.29</v>
      </c>
      <c r="M19" s="3">
        <f>SUM(OSRRefD14x_9)</f>
        <v>3876.35</v>
      </c>
      <c r="N19" s="3">
        <f>SUM(OSRRefE14x_0)</f>
        <v>1749</v>
      </c>
      <c r="O19" s="3">
        <f>SUM(OSRRefE14x_1)</f>
        <v>1430</v>
      </c>
      <c r="Q19" s="3">
        <f>SUM(OSRRefG14x)</f>
        <v>16699.300000000003</v>
      </c>
    </row>
    <row r="20" spans="1:17" s="9" customFormat="1" hidden="1" outlineLevel="1" x14ac:dyDescent="0.25">
      <c r="A20" s="23"/>
      <c r="B20" s="10" t="str">
        <f>CONCATENATE("          ","5000", " - ","PURCHASES @ COST")</f>
        <v xml:space="preserve">          5000 - PURCHASES @ COST</v>
      </c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>
        <v>1749</v>
      </c>
      <c r="O20" s="2">
        <v>1430</v>
      </c>
      <c r="Q20" s="2">
        <f>SUM(OSRRefD14_0x)+IFERROR(SUM(OSRRefE14_0x),0)</f>
        <v>3179</v>
      </c>
    </row>
    <row r="21" spans="1:17" s="9" customFormat="1" hidden="1" outlineLevel="1" x14ac:dyDescent="0.25">
      <c r="A21" s="23"/>
      <c r="B21" s="10" t="str">
        <f>CONCATENATE("          ","5053", " - ","PURCHASES @ COST-FOOD")</f>
        <v xml:space="preserve">          5053 - PURCHASES @ COST-FOOD</v>
      </c>
      <c r="C21" s="22"/>
      <c r="D21" s="2"/>
      <c r="E21" s="2">
        <v>4200.9399999999996</v>
      </c>
      <c r="F21" s="2">
        <v>1229.4000000000001</v>
      </c>
      <c r="G21" s="2">
        <v>4199.07</v>
      </c>
      <c r="H21" s="2">
        <v>1847.93</v>
      </c>
      <c r="I21" s="2">
        <v>1832.08</v>
      </c>
      <c r="J21" s="2">
        <v>1534.85</v>
      </c>
      <c r="K21" s="2">
        <v>-4739.1099999999997</v>
      </c>
      <c r="L21" s="2">
        <v>-5711.29</v>
      </c>
      <c r="M21" s="2">
        <v>3742.42</v>
      </c>
      <c r="N21" s="2"/>
      <c r="O21" s="2"/>
      <c r="Q21" s="2">
        <f>SUM(OSRRefD14_1x)+IFERROR(SUM(OSRRefE14_1x),0)</f>
        <v>8136.29</v>
      </c>
    </row>
    <row r="22" spans="1:17" s="9" customFormat="1" hidden="1" outlineLevel="1" x14ac:dyDescent="0.25">
      <c r="A22" s="23"/>
      <c r="B22" s="10" t="str">
        <f>CONCATENATE("          ","5059", " - ","PURCHASES @ COST-FOOD")</f>
        <v xml:space="preserve">          5059 - PURCHASES @ COST-FOOD</v>
      </c>
      <c r="C22" s="22"/>
      <c r="D22" s="2"/>
      <c r="E22" s="2">
        <v>45</v>
      </c>
      <c r="F22" s="2">
        <v>541.05999999999995</v>
      </c>
      <c r="G22" s="2">
        <v>1597</v>
      </c>
      <c r="H22" s="2">
        <v>996</v>
      </c>
      <c r="I22" s="2">
        <v>2365</v>
      </c>
      <c r="J22" s="2">
        <v>-214.98</v>
      </c>
      <c r="K22" s="2">
        <v>420</v>
      </c>
      <c r="L22" s="2">
        <v>-499</v>
      </c>
      <c r="M22" s="2">
        <v>133.93</v>
      </c>
      <c r="N22" s="2"/>
      <c r="O22" s="2"/>
      <c r="Q22" s="2">
        <f>SUM(OSRRefD14_2x)+IFERROR(SUM(OSRRefE14_2x),0)</f>
        <v>5384.01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105</v>
      </c>
      <c r="C24" s="17"/>
      <c r="D24" s="8">
        <f t="shared" ref="D24:O24" si="8">IFERROR(+D10-D19, 0)</f>
        <v>974.91</v>
      </c>
      <c r="E24" s="8">
        <f t="shared" si="8"/>
        <v>473</v>
      </c>
      <c r="F24" s="8">
        <f t="shared" si="8"/>
        <v>6907.19</v>
      </c>
      <c r="G24" s="8">
        <f t="shared" si="8"/>
        <v>37724.83</v>
      </c>
      <c r="H24" s="8">
        <f t="shared" si="8"/>
        <v>61307.659999999996</v>
      </c>
      <c r="I24" s="8">
        <f t="shared" si="8"/>
        <v>67972.929999999993</v>
      </c>
      <c r="J24" s="8">
        <f t="shared" si="8"/>
        <v>80753.590000000011</v>
      </c>
      <c r="K24" s="8">
        <f t="shared" si="8"/>
        <v>54300.06</v>
      </c>
      <c r="L24" s="8">
        <f t="shared" si="8"/>
        <v>63474.78</v>
      </c>
      <c r="M24" s="8">
        <f t="shared" si="8"/>
        <v>69211.06</v>
      </c>
      <c r="N24" s="8">
        <f t="shared" si="8"/>
        <v>3551</v>
      </c>
      <c r="O24" s="8">
        <f t="shared" si="8"/>
        <v>4070</v>
      </c>
      <c r="Q24" s="8">
        <f>IFERROR(+Q10-Q19, 0)</f>
        <v>450721.01000000007</v>
      </c>
    </row>
    <row r="25" spans="1:17" s="6" customFormat="1" x14ac:dyDescent="0.25">
      <c r="B25" s="16"/>
      <c r="C25" s="16"/>
      <c r="D25" s="4">
        <f t="shared" ref="D25:O25" si="9">IFERROR(D24/D10, 0)</f>
        <v>1</v>
      </c>
      <c r="E25" s="4">
        <f t="shared" si="9"/>
        <v>0.10023437466888752</v>
      </c>
      <c r="F25" s="4">
        <f t="shared" si="9"/>
        <v>0.79597471665715946</v>
      </c>
      <c r="G25" s="4">
        <f t="shared" si="9"/>
        <v>0.86682099864662732</v>
      </c>
      <c r="H25" s="4">
        <f t="shared" si="9"/>
        <v>0.95566859683446659</v>
      </c>
      <c r="I25" s="4">
        <f t="shared" si="9"/>
        <v>0.94184454179790189</v>
      </c>
      <c r="J25" s="4">
        <f t="shared" si="9"/>
        <v>0.98391843112255783</v>
      </c>
      <c r="K25" s="4">
        <f t="shared" si="9"/>
        <v>1.0864151241623059</v>
      </c>
      <c r="L25" s="4">
        <f t="shared" si="9"/>
        <v>1.1084492326745599</v>
      </c>
      <c r="M25" s="4">
        <f t="shared" si="9"/>
        <v>0.94696282164055334</v>
      </c>
      <c r="N25" s="4">
        <f t="shared" si="9"/>
        <v>0.67</v>
      </c>
      <c r="O25" s="4">
        <f t="shared" si="9"/>
        <v>0.74</v>
      </c>
      <c r="P25" s="18"/>
      <c r="Q25" s="4">
        <f>IFERROR(Q24/Q10, 0)</f>
        <v>0.96427348225411946</v>
      </c>
    </row>
    <row r="26" spans="1:17" x14ac:dyDescent="0.25">
      <c r="A26" s="5"/>
      <c r="B26" s="6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5" customFormat="1" x14ac:dyDescent="0.25">
      <c r="A27" s="6"/>
      <c r="B27" s="16" t="s">
        <v>254</v>
      </c>
      <c r="C27" s="6"/>
      <c r="D27" s="14">
        <f>SUM(OSRRefD20x_0)</f>
        <v>127125.15000000002</v>
      </c>
      <c r="E27" s="14">
        <f>SUM(OSRRefD20x_1)</f>
        <v>84836.56</v>
      </c>
      <c r="F27" s="14">
        <f>SUM(OSRRefD20x_2)</f>
        <v>117820.05000000002</v>
      </c>
      <c r="G27" s="14">
        <f>SUM(OSRRefD20x_3)</f>
        <v>117574.27</v>
      </c>
      <c r="H27" s="14">
        <f>SUM(OSRRefD20x_4)</f>
        <v>111877.00000000001</v>
      </c>
      <c r="I27" s="14">
        <f>SUM(OSRRefD20x_5)</f>
        <v>115609.44</v>
      </c>
      <c r="J27" s="14">
        <f>SUM(OSRRefD20x_6)</f>
        <v>111910.68</v>
      </c>
      <c r="K27" s="14">
        <f>SUM(OSRRefD20x_7)</f>
        <v>107369.61000000002</v>
      </c>
      <c r="L27" s="14">
        <f>SUM(OSRRefD20x_8)</f>
        <v>98262.280000000042</v>
      </c>
      <c r="M27" s="14">
        <f>SUM(OSRRefD20x_9)</f>
        <v>121656.65000000002</v>
      </c>
      <c r="N27" s="14">
        <f>SUM(OSRRefE20x_0)</f>
        <v>101427.13908940001</v>
      </c>
      <c r="O27" s="14">
        <f>SUM(OSRRefE20x_1)</f>
        <v>101689.10026616923</v>
      </c>
      <c r="Q27" s="14">
        <f>SUM(OSRRefG20x)</f>
        <v>1317157.929355569</v>
      </c>
    </row>
    <row r="28" spans="1:17" s="34" customFormat="1" collapsed="1" x14ac:dyDescent="0.25">
      <c r="A28" s="35"/>
      <c r="B28" s="11" t="str">
        <f>CONCATENATE("     ","*Benefits                                         ")</f>
        <v xml:space="preserve">     *Benefits                                         </v>
      </c>
      <c r="C28" s="11"/>
      <c r="D28" s="1">
        <f>SUM(OSRRefD21_0x_0)</f>
        <v>25973.47</v>
      </c>
      <c r="E28" s="1">
        <f>SUM(OSRRefD21_0x_1)</f>
        <v>21317.179999999997</v>
      </c>
      <c r="F28" s="1">
        <f>SUM(OSRRefD21_0x_2)</f>
        <v>21540.73</v>
      </c>
      <c r="G28" s="1">
        <f>SUM(OSRRefD21_0x_3)</f>
        <v>23261.620000000003</v>
      </c>
      <c r="H28" s="1">
        <f>SUM(OSRRefD21_0x_4)</f>
        <v>20748.71</v>
      </c>
      <c r="I28" s="1">
        <f>SUM(OSRRefD21_0x_5)</f>
        <v>18327.36</v>
      </c>
      <c r="J28" s="1">
        <f>SUM(OSRRefD21_0x_6)</f>
        <v>18824.990000000002</v>
      </c>
      <c r="K28" s="1">
        <f>SUM(OSRRefD21_0x_7)</f>
        <v>18076.13</v>
      </c>
      <c r="L28" s="1">
        <f>SUM(OSRRefD21_0x_8)</f>
        <v>18745.780000000002</v>
      </c>
      <c r="M28" s="1">
        <f>SUM(OSRRefD21_0x_9)</f>
        <v>22024.969999999998</v>
      </c>
      <c r="N28" s="1">
        <f>SUM(OSRRefE21_0x_0)</f>
        <v>13400.649397092311</v>
      </c>
      <c r="O28" s="1">
        <f>SUM(OSRRefE21_0x_1)</f>
        <v>13655.655573861543</v>
      </c>
      <c r="Q28" s="2">
        <f>SUM(OSRRefD20_0x)+IFERROR(SUM(OSRRefE20_0x),0)</f>
        <v>235897.24497095385</v>
      </c>
    </row>
    <row r="29" spans="1:17" s="34" customFormat="1" hidden="1" outlineLevel="1" x14ac:dyDescent="0.25">
      <c r="A29" s="35"/>
      <c r="B29" s="10" t="str">
        <f>CONCATENATE("          ","6111", " - ","F.I.C.A.")</f>
        <v xml:space="preserve">          6111 - F.I.C.A.</v>
      </c>
      <c r="C29" s="11"/>
      <c r="D29" s="2">
        <v>2614.65</v>
      </c>
      <c r="E29" s="2">
        <v>2439.41</v>
      </c>
      <c r="F29" s="2">
        <v>2366.3200000000002</v>
      </c>
      <c r="G29" s="2">
        <v>4927.41</v>
      </c>
      <c r="H29" s="2">
        <v>1721.11</v>
      </c>
      <c r="I29" s="2">
        <v>1575.88</v>
      </c>
      <c r="J29" s="2">
        <v>2030.81</v>
      </c>
      <c r="K29" s="2">
        <v>2064.8200000000002</v>
      </c>
      <c r="L29" s="2">
        <v>2329.63</v>
      </c>
      <c r="M29" s="2">
        <v>3515.25</v>
      </c>
      <c r="N29" s="2">
        <v>1953.36785016923</v>
      </c>
      <c r="O29" s="2">
        <v>1979.6329461692301</v>
      </c>
      <c r="P29" s="9"/>
      <c r="Q29" s="2">
        <f>SUM(OSRRefD21_0_0x)+IFERROR(SUM(OSRRefE21_0_0x),0)</f>
        <v>29518.29079633846</v>
      </c>
    </row>
    <row r="30" spans="1:17" s="34" customFormat="1" hidden="1" outlineLevel="1" x14ac:dyDescent="0.25">
      <c r="A30" s="35"/>
      <c r="B30" s="10" t="str">
        <f>CONCATENATE("          ","6112", " - ","COMPENSATION INSURANCE")</f>
        <v xml:space="preserve">          6112 - COMPENSATION INSURANCE</v>
      </c>
      <c r="C30" s="11"/>
      <c r="D30" s="2">
        <v>568.9</v>
      </c>
      <c r="E30" s="2">
        <v>613.87</v>
      </c>
      <c r="F30" s="2">
        <v>824.72</v>
      </c>
      <c r="G30" s="2">
        <v>656.61</v>
      </c>
      <c r="H30" s="2">
        <v>1146.3</v>
      </c>
      <c r="I30" s="2">
        <v>1146.3</v>
      </c>
      <c r="J30" s="2">
        <v>205.8</v>
      </c>
      <c r="K30" s="2">
        <v>629.72</v>
      </c>
      <c r="L30" s="2">
        <v>611.25</v>
      </c>
      <c r="M30" s="2">
        <v>611.07000000000005</v>
      </c>
      <c r="N30" s="2">
        <v>665.65610353846205</v>
      </c>
      <c r="O30" s="2">
        <v>678.12713353846198</v>
      </c>
      <c r="P30" s="9"/>
      <c r="Q30" s="2">
        <f>SUM(OSRRefD21_0_1x)+IFERROR(SUM(OSRRefE21_0_1x),0)</f>
        <v>8358.3232370769238</v>
      </c>
    </row>
    <row r="31" spans="1:17" s="34" customFormat="1" hidden="1" outlineLevel="1" x14ac:dyDescent="0.25">
      <c r="A31" s="35"/>
      <c r="B31" s="10" t="str">
        <f>CONCATENATE("          ","6113", " - ","GROUP INSURANCE")</f>
        <v xml:space="preserve">          6113 - GROUP INSURANCE</v>
      </c>
      <c r="C31" s="11"/>
      <c r="D31" s="2">
        <v>13618.52</v>
      </c>
      <c r="E31" s="2">
        <v>10662.18</v>
      </c>
      <c r="F31" s="2">
        <v>10662.18</v>
      </c>
      <c r="G31" s="2">
        <v>8662.99</v>
      </c>
      <c r="H31" s="2">
        <v>8662.99</v>
      </c>
      <c r="I31" s="2">
        <v>8662.99</v>
      </c>
      <c r="J31" s="2">
        <v>8554.93</v>
      </c>
      <c r="K31" s="2">
        <v>8554.93</v>
      </c>
      <c r="L31" s="2">
        <v>8554.93</v>
      </c>
      <c r="M31" s="2">
        <v>8554.93</v>
      </c>
      <c r="N31" s="2">
        <v>5891.3076923076896</v>
      </c>
      <c r="O31" s="2">
        <v>6074.0769230769201</v>
      </c>
      <c r="P31" s="9"/>
      <c r="Q31" s="2">
        <f>SUM(OSRRefD21_0_2x)+IFERROR(SUM(OSRRefE21_0_2x),0)</f>
        <v>107116.95461538459</v>
      </c>
    </row>
    <row r="32" spans="1:17" s="34" customFormat="1" hidden="1" outlineLevel="1" x14ac:dyDescent="0.25">
      <c r="A32" s="35"/>
      <c r="B32" s="10" t="str">
        <f>CONCATENATE("          ","6114", " - ","STATE UNEMPLOYMENT INSURANCE")</f>
        <v xml:space="preserve">          6114 - STATE UNEMPLOYMENT INSURANCE</v>
      </c>
      <c r="C32" s="11"/>
      <c r="D32" s="2">
        <v>81.95</v>
      </c>
      <c r="E32" s="2">
        <v>84.68</v>
      </c>
      <c r="F32" s="2">
        <v>91.3</v>
      </c>
      <c r="G32" s="2">
        <v>81.11</v>
      </c>
      <c r="H32" s="2">
        <v>169.23</v>
      </c>
      <c r="I32" s="2"/>
      <c r="J32" s="2">
        <v>164.95</v>
      </c>
      <c r="K32" s="2">
        <v>81.3</v>
      </c>
      <c r="L32" s="2">
        <v>78.73</v>
      </c>
      <c r="M32" s="2">
        <v>78.72</v>
      </c>
      <c r="N32" s="2">
        <v>66.908947999999995</v>
      </c>
      <c r="O32" s="2">
        <v>67.664767999999995</v>
      </c>
      <c r="P32" s="9"/>
      <c r="Q32" s="2">
        <f>SUM(OSRRefD21_0_3x)+IFERROR(SUM(OSRRefE21_0_3x),0)</f>
        <v>1046.5437160000001</v>
      </c>
    </row>
    <row r="33" spans="1:17" s="34" customFormat="1" hidden="1" outlineLevel="1" x14ac:dyDescent="0.25">
      <c r="A33" s="35"/>
      <c r="B33" s="10" t="str">
        <f>CONCATENATE("          ","6115", " - ","P.E.R.S.")</f>
        <v xml:space="preserve">          6115 - P.E.R.S.</v>
      </c>
      <c r="C33" s="11"/>
      <c r="D33" s="2">
        <v>4648.8</v>
      </c>
      <c r="E33" s="2">
        <v>2748.35</v>
      </c>
      <c r="F33" s="2">
        <v>2748.35</v>
      </c>
      <c r="G33" s="2">
        <v>2662.31</v>
      </c>
      <c r="H33" s="2">
        <v>4708.12</v>
      </c>
      <c r="I33" s="2">
        <v>2748.35</v>
      </c>
      <c r="J33" s="2">
        <v>3958.83</v>
      </c>
      <c r="K33" s="2">
        <v>2703.34</v>
      </c>
      <c r="L33" s="2">
        <v>2783.65</v>
      </c>
      <c r="M33" s="2">
        <v>2720.89</v>
      </c>
      <c r="N33" s="2">
        <v>1914.68772615385</v>
      </c>
      <c r="O33" s="2">
        <v>1914.68772615385</v>
      </c>
      <c r="P33" s="9"/>
      <c r="Q33" s="2">
        <f>SUM(OSRRefD21_0_4x)+IFERROR(SUM(OSRRefE21_0_4x),0)</f>
        <v>36260.365452307698</v>
      </c>
    </row>
    <row r="34" spans="1:17" s="34" customFormat="1" hidden="1" outlineLevel="1" x14ac:dyDescent="0.25">
      <c r="A34" s="35"/>
      <c r="B34" s="10" t="str">
        <f>CONCATENATE("          ","6116", " - ","EDUCATIONAL BENEFITS")</f>
        <v xml:space="preserve">          6116 - EDUCATIONAL BENEFITS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4" customFormat="1" hidden="1" outlineLevel="1" x14ac:dyDescent="0.25">
      <c r="A35" s="35"/>
      <c r="B35" s="10" t="str">
        <f>CONCATENATE("          ","6118", " - ","VACATION")</f>
        <v xml:space="preserve">          6118 - VACATION</v>
      </c>
      <c r="C35" s="11"/>
      <c r="D35" s="2">
        <v>2560.33</v>
      </c>
      <c r="E35" s="2">
        <v>2561.8200000000002</v>
      </c>
      <c r="F35" s="2">
        <v>2561.8200000000002</v>
      </c>
      <c r="G35" s="2">
        <v>3600.57</v>
      </c>
      <c r="H35" s="2">
        <v>2400.38</v>
      </c>
      <c r="I35" s="2">
        <v>2400.38</v>
      </c>
      <c r="J35" s="2">
        <v>2423.7800000000002</v>
      </c>
      <c r="K35" s="2">
        <v>2462.92</v>
      </c>
      <c r="L35" s="2">
        <v>2462.92</v>
      </c>
      <c r="M35" s="2">
        <v>3694.38</v>
      </c>
      <c r="N35" s="2">
        <v>1829.6720769230801</v>
      </c>
      <c r="O35" s="2">
        <v>1846.83207692308</v>
      </c>
      <c r="P35" s="9"/>
      <c r="Q35" s="2">
        <f>SUM(OSRRefD21_0_6x)+IFERROR(SUM(OSRRefE21_0_6x),0)</f>
        <v>30805.804153846158</v>
      </c>
    </row>
    <row r="36" spans="1:17" s="34" customFormat="1" hidden="1" outlineLevel="1" x14ac:dyDescent="0.25">
      <c r="A36" s="35"/>
      <c r="B36" s="10" t="str">
        <f>CONCATENATE("          ","6119", " - ","SICK LEAVE")</f>
        <v xml:space="preserve">          6119 - SICK LEAVE</v>
      </c>
      <c r="C36" s="11"/>
      <c r="D36" s="2">
        <v>1576.57</v>
      </c>
      <c r="E36" s="2">
        <v>1497.32</v>
      </c>
      <c r="F36" s="2">
        <v>1497.32</v>
      </c>
      <c r="G36" s="2">
        <v>2052.15</v>
      </c>
      <c r="H36" s="2">
        <v>1368.1</v>
      </c>
      <c r="I36" s="2">
        <v>1368.1</v>
      </c>
      <c r="J36" s="2">
        <v>1382.86</v>
      </c>
      <c r="K36" s="2">
        <v>1382.86</v>
      </c>
      <c r="L36" s="2">
        <v>1382.86</v>
      </c>
      <c r="M36" s="2">
        <v>2074.29</v>
      </c>
      <c r="N36" s="2">
        <v>729.04899999999998</v>
      </c>
      <c r="O36" s="2">
        <v>744.63400000000001</v>
      </c>
      <c r="P36" s="9"/>
      <c r="Q36" s="2">
        <f>SUM(OSRRefD21_0_7x)+IFERROR(SUM(OSRRefE21_0_7x),0)</f>
        <v>17056.113000000005</v>
      </c>
    </row>
    <row r="37" spans="1:17" s="34" customFormat="1" hidden="1" outlineLevel="1" x14ac:dyDescent="0.25">
      <c r="A37" s="35"/>
      <c r="B37" s="10" t="str">
        <f>CONCATENATE("          ","6156", " - ","EMPLOYEE MEALS")</f>
        <v xml:space="preserve">          6156 - EMPLOYEE MEALS</v>
      </c>
      <c r="C37" s="11"/>
      <c r="D37" s="2">
        <v>303.75</v>
      </c>
      <c r="E37" s="2">
        <v>709.55</v>
      </c>
      <c r="F37" s="2">
        <v>788.72</v>
      </c>
      <c r="G37" s="2">
        <v>618.47</v>
      </c>
      <c r="H37" s="2">
        <v>572.48</v>
      </c>
      <c r="I37" s="2">
        <v>425.36</v>
      </c>
      <c r="J37" s="2">
        <v>103.03</v>
      </c>
      <c r="K37" s="2">
        <v>196.24</v>
      </c>
      <c r="L37" s="2">
        <v>541.80999999999995</v>
      </c>
      <c r="M37" s="2">
        <v>775.44</v>
      </c>
      <c r="N37" s="2">
        <v>350</v>
      </c>
      <c r="O37" s="2">
        <v>350</v>
      </c>
      <c r="P37" s="9"/>
      <c r="Q37" s="2">
        <f>SUM(OSRRefD21_0_8x)+IFERROR(SUM(OSRRefE21_0_8x),0)</f>
        <v>5734.85</v>
      </c>
    </row>
    <row r="38" spans="1:17" s="34" customFormat="1" collapsed="1" x14ac:dyDescent="0.25">
      <c r="A38" s="35"/>
      <c r="B38" s="11" t="str">
        <f>CONCATENATE("     ","*Payroll                                          ")</f>
        <v xml:space="preserve">     *Payroll                                          </v>
      </c>
      <c r="C38" s="11"/>
      <c r="D38" s="1">
        <f>SUM(OSRRefD21_1x_0)</f>
        <v>36428.020000000004</v>
      </c>
      <c r="E38" s="1">
        <f>SUM(OSRRefD21_1x_1)</f>
        <v>30741.25</v>
      </c>
      <c r="F38" s="1">
        <f>SUM(OSRRefD21_1x_2)</f>
        <v>30018.61</v>
      </c>
      <c r="G38" s="1">
        <f>SUM(OSRRefD21_1x_3)</f>
        <v>31757.64</v>
      </c>
      <c r="H38" s="1">
        <f>SUM(OSRRefD21_1x_4)</f>
        <v>25527.65</v>
      </c>
      <c r="I38" s="1">
        <f>SUM(OSRRefD21_1x_5)</f>
        <v>24458.49</v>
      </c>
      <c r="J38" s="1">
        <f>SUM(OSRRefD21_1x_6)</f>
        <v>29206.010000000002</v>
      </c>
      <c r="K38" s="1">
        <f>SUM(OSRRefD21_1x_7)</f>
        <v>25366.62</v>
      </c>
      <c r="L38" s="1">
        <f>SUM(OSRRefD21_1x_8)</f>
        <v>27420.030000000002</v>
      </c>
      <c r="M38" s="1">
        <f>SUM(OSRRefD21_1x_9)</f>
        <v>32003.24</v>
      </c>
      <c r="N38" s="1">
        <f>SUM(OSRRefE21_1x_0)</f>
        <v>23175.489692307699</v>
      </c>
      <c r="O38" s="1">
        <f>SUM(OSRRefE21_1x_1)</f>
        <v>23433.444692307698</v>
      </c>
      <c r="Q38" s="2">
        <f>SUM(OSRRefD20_1x)+IFERROR(SUM(OSRRefE20_1x),0)</f>
        <v>339536.49438461539</v>
      </c>
    </row>
    <row r="39" spans="1:17" s="34" customFormat="1" hidden="1" outlineLevel="1" x14ac:dyDescent="0.25">
      <c r="A39" s="35"/>
      <c r="B39" s="10" t="str">
        <f>CONCATENATE("          ","6001", " - ","ADMINISTRATIVE SALARIES")</f>
        <v xml:space="preserve">          6001 - ADMINISTRATIVE SALARIES</v>
      </c>
      <c r="C39" s="11"/>
      <c r="D39" s="2">
        <v>11207.33</v>
      </c>
      <c r="E39" s="2">
        <v>11069.28</v>
      </c>
      <c r="F39" s="2">
        <v>11069.28</v>
      </c>
      <c r="G39" s="2">
        <v>10516.14</v>
      </c>
      <c r="H39" s="2">
        <v>9962.35</v>
      </c>
      <c r="I39" s="2">
        <v>8855.42</v>
      </c>
      <c r="J39" s="2">
        <v>13911.28</v>
      </c>
      <c r="K39" s="2">
        <v>10590.82</v>
      </c>
      <c r="L39" s="2">
        <v>10037.35</v>
      </c>
      <c r="M39" s="2">
        <v>13836.92</v>
      </c>
      <c r="N39" s="2">
        <v>15493.7076923077</v>
      </c>
      <c r="O39" s="2">
        <v>15493.7076923077</v>
      </c>
      <c r="P39" s="9"/>
      <c r="Q39" s="2">
        <f>SUM(OSRRefD21_1_0x)+IFERROR(SUM(OSRRefE21_1_0x),0)</f>
        <v>142043.58538461541</v>
      </c>
    </row>
    <row r="40" spans="1:17" s="34" customFormat="1" hidden="1" outlineLevel="1" x14ac:dyDescent="0.25">
      <c r="A40" s="35"/>
      <c r="B40" s="10" t="str">
        <f>CONCATENATE("          ","6002", " - ","STAFF SALARIES")</f>
        <v xml:space="preserve">          6002 - STAFF SALARIES</v>
      </c>
      <c r="C40" s="11"/>
      <c r="D40" s="2">
        <v>21098.959999999999</v>
      </c>
      <c r="E40" s="2">
        <v>14643.4</v>
      </c>
      <c r="F40" s="2">
        <v>15148.26</v>
      </c>
      <c r="G40" s="2">
        <v>16649.23</v>
      </c>
      <c r="H40" s="2">
        <v>12438.05</v>
      </c>
      <c r="I40" s="2">
        <v>12942.91</v>
      </c>
      <c r="J40" s="2">
        <v>14173.28</v>
      </c>
      <c r="K40" s="2">
        <v>14166.5</v>
      </c>
      <c r="L40" s="2">
        <v>14052.4</v>
      </c>
      <c r="M40" s="2">
        <v>14540.3</v>
      </c>
      <c r="N40" s="2">
        <v>4543.7219999999998</v>
      </c>
      <c r="O40" s="2">
        <v>4543.7219999999998</v>
      </c>
      <c r="P40" s="9"/>
      <c r="Q40" s="2">
        <f>SUM(OSRRefD21_1_1x)+IFERROR(SUM(OSRRefE21_1_1x),0)</f>
        <v>158940.734</v>
      </c>
    </row>
    <row r="41" spans="1:17" s="34" customFormat="1" hidden="1" outlineLevel="1" x14ac:dyDescent="0.25">
      <c r="A41" s="35"/>
      <c r="B41" s="10" t="str">
        <f>CONCATENATE("          ","6003", " - ","STAFF HOURLY-9 MONTH")</f>
        <v xml:space="preserve">          6003 - STAFF HOURLY-9 MONTH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25">
      <c r="A42" s="35"/>
      <c r="B42" s="10" t="str">
        <f>CONCATENATE("          ","6004", " - ","STAFF HOURLY")</f>
        <v xml:space="preserve">          6004 - STAFF HOURLY</v>
      </c>
      <c r="C42" s="11"/>
      <c r="D42" s="2">
        <v>2771.73</v>
      </c>
      <c r="E42" s="2">
        <v>4818.47</v>
      </c>
      <c r="F42" s="2">
        <v>3115.4</v>
      </c>
      <c r="G42" s="2">
        <v>4641.7</v>
      </c>
      <c r="H42" s="2">
        <v>2751.03</v>
      </c>
      <c r="I42" s="2">
        <v>2426.3000000000002</v>
      </c>
      <c r="J42" s="2">
        <v>960.45</v>
      </c>
      <c r="K42" s="2">
        <v>284.3</v>
      </c>
      <c r="L42" s="2">
        <v>2789.95</v>
      </c>
      <c r="M42" s="2">
        <v>4020.03</v>
      </c>
      <c r="N42" s="2">
        <v>2934.36</v>
      </c>
      <c r="O42" s="2">
        <v>3243.24</v>
      </c>
      <c r="P42" s="9"/>
      <c r="Q42" s="2">
        <f>SUM(OSRRefD21_1_3x)+IFERROR(SUM(OSRRefE21_1_3x),0)</f>
        <v>34756.959999999999</v>
      </c>
    </row>
    <row r="43" spans="1:17" s="34" customFormat="1" hidden="1" outlineLevel="1" x14ac:dyDescent="0.25">
      <c r="A43" s="35"/>
      <c r="B43" s="10" t="str">
        <f>CONCATENATE("          ","6005", " - ","TEMPORARY WAGES-HOURLY")</f>
        <v xml:space="preserve">          6005 - TEMPORARY WAGES-HOURLY</v>
      </c>
      <c r="C43" s="11"/>
      <c r="D43" s="2"/>
      <c r="E43" s="2">
        <v>155.1</v>
      </c>
      <c r="F43" s="2">
        <v>1266.67</v>
      </c>
      <c r="G43" s="2">
        <v>704.86</v>
      </c>
      <c r="H43" s="2">
        <v>376.22</v>
      </c>
      <c r="I43" s="2">
        <v>233.86</v>
      </c>
      <c r="J43" s="2">
        <v>0</v>
      </c>
      <c r="K43" s="2"/>
      <c r="L43" s="2">
        <v>172.33</v>
      </c>
      <c r="M43" s="2">
        <v>382.01</v>
      </c>
      <c r="N43" s="2">
        <v>203.7</v>
      </c>
      <c r="O43" s="2">
        <v>152.77500000000001</v>
      </c>
      <c r="P43" s="9"/>
      <c r="Q43" s="2">
        <f>SUM(OSRRefD21_1_4x)+IFERROR(SUM(OSRRefE21_1_4x),0)</f>
        <v>3647.5250000000001</v>
      </c>
    </row>
    <row r="44" spans="1:17" s="34" customFormat="1" hidden="1" outlineLevel="1" x14ac:dyDescent="0.25">
      <c r="A44" s="35"/>
      <c r="B44" s="10" t="str">
        <f>CONCATENATE("          ","6006", " - ","TEMPORARY PART TIME")</f>
        <v xml:space="preserve">          6006 - TEMPORARY PART TIME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25">
      <c r="A45" s="35"/>
      <c r="B45" s="10" t="str">
        <f>CONCATENATE("          ","6007", " - ","STUDENT HOURLY")</f>
        <v xml:space="preserve">          6007 - STUDENT HOURLY</v>
      </c>
      <c r="C45" s="11"/>
      <c r="D45" s="2">
        <v>1350</v>
      </c>
      <c r="E45" s="2">
        <v>55</v>
      </c>
      <c r="F45" s="2">
        <v>-581</v>
      </c>
      <c r="G45" s="2">
        <v>-754.29</v>
      </c>
      <c r="H45" s="2"/>
      <c r="I45" s="2"/>
      <c r="J45" s="2">
        <v>161</v>
      </c>
      <c r="K45" s="2">
        <v>325</v>
      </c>
      <c r="L45" s="2">
        <v>368</v>
      </c>
      <c r="M45" s="2">
        <v>-776.02</v>
      </c>
      <c r="N45" s="2">
        <v>0</v>
      </c>
      <c r="O45" s="2">
        <v>0</v>
      </c>
      <c r="P45" s="9"/>
      <c r="Q45" s="2">
        <f>SUM(OSRRefD21_1_6x)+IFERROR(SUM(OSRRefE21_1_6x),0)</f>
        <v>147.69000000000005</v>
      </c>
    </row>
    <row r="46" spans="1:17" s="34" customFormat="1" hidden="1" outlineLevel="1" x14ac:dyDescent="0.25">
      <c r="A46" s="35"/>
      <c r="B46" s="10" t="str">
        <f>CONCATENATE("          ","6008", " - ","STUDENT HOURLY-FICA EXEMPT")</f>
        <v xml:space="preserve">          6008 - STUDENT HOURLY-FICA EXEMPT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4" customFormat="1" hidden="1" outlineLevel="1" x14ac:dyDescent="0.25">
      <c r="A47" s="35"/>
      <c r="B47" s="10" t="str">
        <f>CONCATENATE("          ","6009", " - ","TEMPORARY-SEASONAL")</f>
        <v xml:space="preserve">          6009 - TEMPORARY-SEASONAL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25">
      <c r="A48" s="35"/>
      <c r="B48" s="10" t="str">
        <f>CONCATENATE("          ","6010", " - ","GRATUITY")</f>
        <v xml:space="preserve">          6010 - GRATUITY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25">
      <c r="A49" s="35"/>
      <c r="B49" s="11" t="str">
        <f>CONCATENATE("     ","Advertising/Promo                                 ")</f>
        <v xml:space="preserve">     Advertising/Promo                                 </v>
      </c>
      <c r="C49" s="11"/>
      <c r="D49" s="1">
        <f>SUM(OSRRefD21_2x_0)</f>
        <v>45.97</v>
      </c>
      <c r="E49" s="1">
        <f>SUM(OSRRefD21_2x_1)</f>
        <v>0</v>
      </c>
      <c r="F49" s="1">
        <f>SUM(OSRRefD21_2x_2)</f>
        <v>49.61</v>
      </c>
      <c r="G49" s="1">
        <f>SUM(OSRRefD21_2x_3)</f>
        <v>15.05</v>
      </c>
      <c r="H49" s="1">
        <f>SUM(OSRRefD21_2x_4)</f>
        <v>15.9</v>
      </c>
      <c r="I49" s="1">
        <f>SUM(OSRRefD21_2x_5)</f>
        <v>7.42</v>
      </c>
      <c r="J49" s="1">
        <f>SUM(OSRRefD21_2x_6)</f>
        <v>5.4</v>
      </c>
      <c r="K49" s="1">
        <f>SUM(OSRRefD21_2x_7)</f>
        <v>78.48</v>
      </c>
      <c r="L49" s="1">
        <f>SUM(OSRRefD21_2x_8)</f>
        <v>155.19</v>
      </c>
      <c r="M49" s="1">
        <f>SUM(OSRRefD21_2x_9)</f>
        <v>68.13</v>
      </c>
      <c r="N49" s="1">
        <f>SUM(OSRRefE21_2x_0)</f>
        <v>0</v>
      </c>
      <c r="O49" s="1">
        <f>SUM(OSRRefE21_2x_1)</f>
        <v>0</v>
      </c>
      <c r="Q49" s="2">
        <f>SUM(OSRRefD20_2x)+IFERROR(SUM(OSRRefE20_2x),0)</f>
        <v>441.15</v>
      </c>
    </row>
    <row r="50" spans="1:17" s="34" customFormat="1" hidden="1" outlineLevel="1" x14ac:dyDescent="0.25">
      <c r="A50" s="35"/>
      <c r="B50" s="10" t="str">
        <f>CONCATENATE("          ","6362", " - ","ADVERTISING EXPENSE")</f>
        <v xml:space="preserve">          6362 - ADVERTISING EXPENSE</v>
      </c>
      <c r="C50" s="11"/>
      <c r="D50" s="2">
        <v>45.97</v>
      </c>
      <c r="E50" s="2"/>
      <c r="F50" s="2">
        <v>49.61</v>
      </c>
      <c r="G50" s="2">
        <v>15.05</v>
      </c>
      <c r="H50" s="2">
        <v>15.9</v>
      </c>
      <c r="I50" s="2">
        <v>7.42</v>
      </c>
      <c r="J50" s="2">
        <v>5.4</v>
      </c>
      <c r="K50" s="2">
        <v>78.48</v>
      </c>
      <c r="L50" s="2">
        <v>155.19</v>
      </c>
      <c r="M50" s="2">
        <v>68.13</v>
      </c>
      <c r="N50" s="2">
        <v>0</v>
      </c>
      <c r="O50" s="2">
        <v>0</v>
      </c>
      <c r="P50" s="9"/>
      <c r="Q50" s="2">
        <f>SUM(OSRRefD21_2_0x)+IFERROR(SUM(OSRRefE21_2_0x),0)</f>
        <v>441.15</v>
      </c>
    </row>
    <row r="51" spans="1:17" s="34" customFormat="1" collapsed="1" x14ac:dyDescent="0.25">
      <c r="A51" s="35"/>
      <c r="B51" s="11" t="str">
        <f>CONCATENATE("     ","Bad Debts/Over/Short                              ")</f>
        <v xml:space="preserve">     Bad Debts/Over/Short                              </v>
      </c>
      <c r="C51" s="11"/>
      <c r="D51" s="1">
        <f>SUM(OSRRefD21_3x_0)</f>
        <v>0</v>
      </c>
      <c r="E51" s="1">
        <f>SUM(OSRRefD21_3x_1)</f>
        <v>-0.14000000000000001</v>
      </c>
      <c r="F51" s="1">
        <f>SUM(OSRRefD21_3x_2)</f>
        <v>-193.38</v>
      </c>
      <c r="G51" s="1">
        <f>SUM(OSRRefD21_3x_3)</f>
        <v>1531.8</v>
      </c>
      <c r="H51" s="1">
        <f>SUM(OSRRefD21_3x_4)</f>
        <v>-1331.23</v>
      </c>
      <c r="I51" s="1">
        <f>SUM(OSRRefD21_3x_5)</f>
        <v>1.74</v>
      </c>
      <c r="J51" s="1">
        <f>SUM(OSRRefD21_3x_6)</f>
        <v>0</v>
      </c>
      <c r="K51" s="1">
        <f>SUM(OSRRefD21_3x_7)</f>
        <v>0</v>
      </c>
      <c r="L51" s="1">
        <f>SUM(OSRRefD21_3x_8)</f>
        <v>-0.39</v>
      </c>
      <c r="M51" s="1">
        <f>SUM(OSRRefD21_3x_9)</f>
        <v>0.57999999999999996</v>
      </c>
      <c r="N51" s="1">
        <f>SUM(OSRRefE21_3x_0)</f>
        <v>0</v>
      </c>
      <c r="O51" s="1">
        <f>SUM(OSRRefE21_3x_1)</f>
        <v>0</v>
      </c>
      <c r="Q51" s="2">
        <f>SUM(OSRRefD20_3x)+IFERROR(SUM(OSRRefE20_3x),0)</f>
        <v>8.9799999999999542</v>
      </c>
    </row>
    <row r="52" spans="1:17" s="34" customFormat="1" hidden="1" outlineLevel="1" x14ac:dyDescent="0.25">
      <c r="A52" s="35"/>
      <c r="B52" s="10" t="str">
        <f>CONCATENATE("          ","6272", " - ","CASH (OVER/SHORT)")</f>
        <v xml:space="preserve">          6272 - CASH (OVER/SHORT)</v>
      </c>
      <c r="C52" s="11"/>
      <c r="D52" s="2"/>
      <c r="E52" s="2">
        <v>-0.14000000000000001</v>
      </c>
      <c r="F52" s="2">
        <v>-193.38</v>
      </c>
      <c r="G52" s="2">
        <v>1531.8</v>
      </c>
      <c r="H52" s="2">
        <v>-1331.23</v>
      </c>
      <c r="I52" s="2">
        <v>1.74</v>
      </c>
      <c r="J52" s="2"/>
      <c r="K52" s="2"/>
      <c r="L52" s="2">
        <v>-0.39</v>
      </c>
      <c r="M52" s="2">
        <v>0.57999999999999996</v>
      </c>
      <c r="N52" s="2">
        <v>0</v>
      </c>
      <c r="O52" s="2">
        <v>0</v>
      </c>
      <c r="P52" s="9"/>
      <c r="Q52" s="2">
        <f>SUM(OSRRefD21_3_0x)+IFERROR(SUM(OSRRefE21_3_0x),0)</f>
        <v>8.9799999999999542</v>
      </c>
    </row>
    <row r="53" spans="1:17" s="34" customFormat="1" collapsed="1" x14ac:dyDescent="0.25">
      <c r="A53" s="35"/>
      <c r="B53" s="11" t="str">
        <f>CONCATENATE("     ","Bank/card Fees                                    ")</f>
        <v xml:space="preserve">     Bank/card Fees                                    </v>
      </c>
      <c r="C53" s="11"/>
      <c r="D53" s="1">
        <f>SUM(OSRRefD21_4x_0)</f>
        <v>282.82</v>
      </c>
      <c r="E53" s="1">
        <f>SUM(OSRRefD21_4x_1)</f>
        <v>333.07</v>
      </c>
      <c r="F53" s="1">
        <f>SUM(OSRRefD21_4x_2)</f>
        <v>493.43</v>
      </c>
      <c r="G53" s="1">
        <f>SUM(OSRRefD21_4x_3)</f>
        <v>758.49</v>
      </c>
      <c r="H53" s="1">
        <f>SUM(OSRRefD21_4x_4)</f>
        <v>747.39</v>
      </c>
      <c r="I53" s="1">
        <f>SUM(OSRRefD21_4x_5)</f>
        <v>639.55999999999995</v>
      </c>
      <c r="J53" s="1">
        <f>SUM(OSRRefD21_4x_6)</f>
        <v>671.77</v>
      </c>
      <c r="K53" s="1">
        <f>SUM(OSRRefD21_4x_7)</f>
        <v>781.86</v>
      </c>
      <c r="L53" s="1">
        <f>SUM(OSRRefD21_4x_8)</f>
        <v>649.46</v>
      </c>
      <c r="M53" s="1">
        <f>SUM(OSRRefD21_4x_9)</f>
        <v>965.2</v>
      </c>
      <c r="N53" s="1">
        <f>SUM(OSRRefE21_4x_0)</f>
        <v>398</v>
      </c>
      <c r="O53" s="1">
        <f>SUM(OSRRefE21_4x_1)</f>
        <v>413</v>
      </c>
      <c r="Q53" s="2">
        <f>SUM(OSRRefD20_4x)+IFERROR(SUM(OSRRefE20_4x),0)</f>
        <v>7134.0499999999993</v>
      </c>
    </row>
    <row r="54" spans="1:17" s="34" customFormat="1" hidden="1" outlineLevel="1" x14ac:dyDescent="0.25">
      <c r="A54" s="35"/>
      <c r="B54" s="10" t="str">
        <f>CONCATENATE("          ","6381", " - ","BANK/CREDIT CARD FEES")</f>
        <v xml:space="preserve">          6381 - BANK/CREDIT CARD FEES</v>
      </c>
      <c r="C54" s="11"/>
      <c r="D54" s="2">
        <v>282.82</v>
      </c>
      <c r="E54" s="2">
        <v>333.07</v>
      </c>
      <c r="F54" s="2">
        <v>493.43</v>
      </c>
      <c r="G54" s="2">
        <v>758.49</v>
      </c>
      <c r="H54" s="2">
        <v>747.39</v>
      </c>
      <c r="I54" s="2">
        <v>639.55999999999995</v>
      </c>
      <c r="J54" s="2">
        <v>671.77</v>
      </c>
      <c r="K54" s="2">
        <v>781.86</v>
      </c>
      <c r="L54" s="2">
        <v>649.46</v>
      </c>
      <c r="M54" s="2">
        <v>965.2</v>
      </c>
      <c r="N54" s="2">
        <v>398</v>
      </c>
      <c r="O54" s="2">
        <v>413</v>
      </c>
      <c r="P54" s="9"/>
      <c r="Q54" s="2">
        <f>SUM(OSRRefD21_4_0x)+IFERROR(SUM(OSRRefE21_4_0x),0)</f>
        <v>7134.0499999999993</v>
      </c>
    </row>
    <row r="55" spans="1:17" s="34" customFormat="1" collapsed="1" x14ac:dyDescent="0.25">
      <c r="A55" s="35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SUM(OSRRefD21_5x_0)</f>
        <v>37556.01</v>
      </c>
      <c r="E55" s="1">
        <f>SUM(OSRRefD21_5x_1)</f>
        <v>37690.479999999996</v>
      </c>
      <c r="F55" s="1">
        <f>SUM(OSRRefD21_5x_2)</f>
        <v>37681.94</v>
      </c>
      <c r="G55" s="1">
        <f>SUM(OSRRefD21_5x_3)</f>
        <v>36778.130000000005</v>
      </c>
      <c r="H55" s="1">
        <f>SUM(OSRRefD21_5x_4)</f>
        <v>36720.76</v>
      </c>
      <c r="I55" s="1">
        <f>SUM(OSRRefD21_5x_5)</f>
        <v>36720.76</v>
      </c>
      <c r="J55" s="1">
        <f>SUM(OSRRefD21_5x_6)</f>
        <v>36720.76</v>
      </c>
      <c r="K55" s="1">
        <f>SUM(OSRRefD21_5x_7)</f>
        <v>36720.76</v>
      </c>
      <c r="L55" s="1">
        <f>SUM(OSRRefD21_5x_8)</f>
        <v>36720.76</v>
      </c>
      <c r="M55" s="1">
        <f>SUM(OSRRefD21_5x_9)</f>
        <v>36720.76</v>
      </c>
      <c r="N55" s="1">
        <f>SUM(OSRRefE21_5x_0)</f>
        <v>37717</v>
      </c>
      <c r="O55" s="1">
        <f>SUM(OSRRefE21_5x_1)</f>
        <v>35577</v>
      </c>
      <c r="Q55" s="2">
        <f>SUM(OSRRefD20_5x)+IFERROR(SUM(OSRRefE20_5x),0)</f>
        <v>443325.12000000005</v>
      </c>
    </row>
    <row r="56" spans="1:17" s="34" customFormat="1" hidden="1" outlineLevel="1" x14ac:dyDescent="0.25">
      <c r="A56" s="35"/>
      <c r="B56" s="10" t="str">
        <f>CONCATENATE("          ","6321", " - ","BUILDING DEPRECIATION")</f>
        <v xml:space="preserve">          6321 - BUILDING DEPRECIATION</v>
      </c>
      <c r="C56" s="11"/>
      <c r="D56" s="2">
        <v>23844.89</v>
      </c>
      <c r="E56" s="2">
        <v>23844.89</v>
      </c>
      <c r="F56" s="2">
        <v>23844.880000000001</v>
      </c>
      <c r="G56" s="2">
        <v>23583.49</v>
      </c>
      <c r="H56" s="2">
        <v>23583.49</v>
      </c>
      <c r="I56" s="2">
        <v>23583.49</v>
      </c>
      <c r="J56" s="2">
        <v>23583.49</v>
      </c>
      <c r="K56" s="2">
        <v>23583.49</v>
      </c>
      <c r="L56" s="2">
        <v>23583.49</v>
      </c>
      <c r="M56" s="2">
        <v>23583.49</v>
      </c>
      <c r="N56" s="2"/>
      <c r="O56" s="2"/>
      <c r="P56" s="9"/>
      <c r="Q56" s="2">
        <f>SUM(OSRRefD21_5_0x)+IFERROR(SUM(OSRRefE21_5_0x),0)</f>
        <v>236619.08999999997</v>
      </c>
    </row>
    <row r="57" spans="1:17" s="34" customFormat="1" hidden="1" outlineLevel="1" x14ac:dyDescent="0.25">
      <c r="A57" s="35"/>
      <c r="B57" s="10" t="str">
        <f>CONCATENATE("          ","6322", " - ","EQUIPMENT DEPRECIATION EXPENSE")</f>
        <v xml:space="preserve">          6322 - EQUIPMENT DEPRECIATION EXPENSE</v>
      </c>
      <c r="C57" s="11"/>
      <c r="D57" s="2">
        <v>13711.12</v>
      </c>
      <c r="E57" s="2">
        <v>13845.59</v>
      </c>
      <c r="F57" s="2">
        <v>13837.06</v>
      </c>
      <c r="G57" s="2">
        <v>13194.64</v>
      </c>
      <c r="H57" s="2">
        <v>13137.27</v>
      </c>
      <c r="I57" s="2">
        <v>13137.27</v>
      </c>
      <c r="J57" s="2">
        <v>13137.27</v>
      </c>
      <c r="K57" s="2">
        <v>13137.27</v>
      </c>
      <c r="L57" s="2">
        <v>13137.27</v>
      </c>
      <c r="M57" s="2">
        <v>13137.27</v>
      </c>
      <c r="N57" s="2">
        <v>37167</v>
      </c>
      <c r="O57" s="2">
        <v>35027</v>
      </c>
      <c r="P57" s="9"/>
      <c r="Q57" s="2">
        <f>SUM(OSRRefD21_5_1x)+IFERROR(SUM(OSRRefE21_5_1x),0)</f>
        <v>205606.03</v>
      </c>
    </row>
    <row r="58" spans="1:17" s="34" customFormat="1" hidden="1" outlineLevel="1" x14ac:dyDescent="0.25">
      <c r="A58" s="35"/>
      <c r="B58" s="10" t="str">
        <f>CONCATENATE("          ","6326", " - ","VEHICLES DEPRECIATION EXPENSE")</f>
        <v xml:space="preserve">          6326 - VEHICLES DEPRECIATION EXPENSE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550</v>
      </c>
      <c r="O58" s="2">
        <v>550</v>
      </c>
      <c r="P58" s="9"/>
      <c r="Q58" s="2">
        <f>SUM(OSRRefD21_5_2x)+IFERROR(SUM(OSRRefE21_5_2x),0)</f>
        <v>1100</v>
      </c>
    </row>
    <row r="59" spans="1:17" s="34" customFormat="1" collapsed="1" x14ac:dyDescent="0.25">
      <c r="A59" s="35"/>
      <c r="B59" s="11" t="str">
        <f>CONCATENATE("     ","Employees' Appreciation                           ")</f>
        <v xml:space="preserve">     Employees' Appreciation                           </v>
      </c>
      <c r="C59" s="11"/>
      <c r="D59" s="1">
        <f>SUM(OSRRefD21_6x_0)</f>
        <v>0</v>
      </c>
      <c r="E59" s="1">
        <f>SUM(OSRRefD21_6x_1)</f>
        <v>0</v>
      </c>
      <c r="F59" s="1">
        <f>SUM(OSRRefD21_6x_2)</f>
        <v>0</v>
      </c>
      <c r="G59" s="1">
        <f>SUM(OSRRefD21_6x_3)</f>
        <v>0</v>
      </c>
      <c r="H59" s="1">
        <f>SUM(OSRRefD21_6x_4)</f>
        <v>0</v>
      </c>
      <c r="I59" s="1">
        <f>SUM(OSRRefD21_6x_5)</f>
        <v>10</v>
      </c>
      <c r="J59" s="1">
        <f>SUM(OSRRefD21_6x_6)</f>
        <v>0</v>
      </c>
      <c r="K59" s="1">
        <f>SUM(OSRRefD21_6x_7)</f>
        <v>0</v>
      </c>
      <c r="L59" s="1">
        <f>SUM(OSRRefD21_6x_8)</f>
        <v>0</v>
      </c>
      <c r="M59" s="1">
        <f>SUM(OSRRefD21_6x_9)</f>
        <v>0</v>
      </c>
      <c r="N59" s="1">
        <f>SUM(OSRRefE21_6x_0)</f>
        <v>0</v>
      </c>
      <c r="O59" s="1">
        <f>SUM(OSRRefE21_6x_1)</f>
        <v>0</v>
      </c>
      <c r="Q59" s="2">
        <f>SUM(OSRRefD20_6x)+IFERROR(SUM(OSRRefE20_6x),0)</f>
        <v>10</v>
      </c>
    </row>
    <row r="60" spans="1:17" s="34" customFormat="1" hidden="1" outlineLevel="1" x14ac:dyDescent="0.25">
      <c r="A60" s="35"/>
      <c r="B60" s="10" t="str">
        <f>CONCATENATE("          ","6277", " - ","EMPLOYEE APPRECIATION")</f>
        <v xml:space="preserve">          6277 - EMPLOYEE APPRECIATION</v>
      </c>
      <c r="C60" s="11"/>
      <c r="D60" s="2"/>
      <c r="E60" s="2"/>
      <c r="F60" s="2"/>
      <c r="G60" s="2"/>
      <c r="H60" s="2"/>
      <c r="I60" s="2">
        <v>10</v>
      </c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SUM(OSRRefD21_6_0x)+IFERROR(SUM(OSRRefE21_6_0x),0)</f>
        <v>10</v>
      </c>
    </row>
    <row r="61" spans="1:17" s="34" customFormat="1" collapsed="1" x14ac:dyDescent="0.25">
      <c r="A61" s="35"/>
      <c r="B61" s="11" t="str">
        <f>CONCATENATE("     ","Equipment Rental                                  ")</f>
        <v xml:space="preserve">     Equipment Rental                                  </v>
      </c>
      <c r="C61" s="11"/>
      <c r="D61" s="1">
        <f>SUM(OSRRefD21_7x_0)</f>
        <v>868.95</v>
      </c>
      <c r="E61" s="1">
        <f>SUM(OSRRefD21_7x_1)</f>
        <v>163.80000000000001</v>
      </c>
      <c r="F61" s="1">
        <f>SUM(OSRRefD21_7x_2)</f>
        <v>283.86</v>
      </c>
      <c r="G61" s="1">
        <f>SUM(OSRRefD21_7x_3)</f>
        <v>1984.06</v>
      </c>
      <c r="H61" s="1">
        <f>SUM(OSRRefD21_7x_4)</f>
        <v>775.02</v>
      </c>
      <c r="I61" s="1">
        <f>SUM(OSRRefD21_7x_5)</f>
        <v>297.93</v>
      </c>
      <c r="J61" s="1">
        <f>SUM(OSRRefD21_7x_6)</f>
        <v>91.26</v>
      </c>
      <c r="K61" s="1">
        <f>SUM(OSRRefD21_7x_7)</f>
        <v>255.55</v>
      </c>
      <c r="L61" s="1">
        <f>SUM(OSRRefD21_7x_8)</f>
        <v>163.80000000000001</v>
      </c>
      <c r="M61" s="1">
        <f>SUM(OSRRefD21_7x_9)</f>
        <v>567.59</v>
      </c>
      <c r="N61" s="1">
        <f>SUM(OSRRefE21_7x_0)</f>
        <v>146</v>
      </c>
      <c r="O61" s="1">
        <f>SUM(OSRRefE21_7x_1)</f>
        <v>95</v>
      </c>
      <c r="Q61" s="2">
        <f>SUM(OSRRefD20_7x)+IFERROR(SUM(OSRRefE20_7x),0)</f>
        <v>5692.8200000000006</v>
      </c>
    </row>
    <row r="62" spans="1:17" s="34" customFormat="1" hidden="1" outlineLevel="1" x14ac:dyDescent="0.25">
      <c r="A62" s="35"/>
      <c r="B62" s="10" t="str">
        <f>CONCATENATE("          ","6351", " - ","EQUIPMENT RENTAL")</f>
        <v xml:space="preserve">          6351 - EQUIPMENT RENTAL</v>
      </c>
      <c r="C62" s="11"/>
      <c r="D62" s="2">
        <v>868.95</v>
      </c>
      <c r="E62" s="2">
        <v>163.80000000000001</v>
      </c>
      <c r="F62" s="2">
        <v>283.86</v>
      </c>
      <c r="G62" s="2">
        <v>1984.06</v>
      </c>
      <c r="H62" s="2">
        <v>775.02</v>
      </c>
      <c r="I62" s="2">
        <v>297.93</v>
      </c>
      <c r="J62" s="2">
        <v>91.26</v>
      </c>
      <c r="K62" s="2">
        <v>255.55</v>
      </c>
      <c r="L62" s="2">
        <v>163.80000000000001</v>
      </c>
      <c r="M62" s="2">
        <v>567.59</v>
      </c>
      <c r="N62" s="2">
        <v>146</v>
      </c>
      <c r="O62" s="2">
        <v>95</v>
      </c>
      <c r="P62" s="9"/>
      <c r="Q62" s="2">
        <f>SUM(OSRRefD21_7_0x)+IFERROR(SUM(OSRRefE21_7_0x),0)</f>
        <v>5692.8200000000006</v>
      </c>
    </row>
    <row r="63" spans="1:17" s="34" customFormat="1" collapsed="1" x14ac:dyDescent="0.25">
      <c r="A63" s="35"/>
      <c r="B63" s="11" t="str">
        <f>CONCATENATE("     ","Freight out/Postage                               ")</f>
        <v xml:space="preserve">     Freight out/Postage                               </v>
      </c>
      <c r="C63" s="11"/>
      <c r="D63" s="1">
        <f>SUM(OSRRefD21_8x_0)</f>
        <v>0</v>
      </c>
      <c r="E63" s="1">
        <f>SUM(OSRRefD21_8x_1)</f>
        <v>0</v>
      </c>
      <c r="F63" s="1">
        <f>SUM(OSRRefD21_8x_2)</f>
        <v>-5.41</v>
      </c>
      <c r="G63" s="1">
        <f>SUM(OSRRefD21_8x_3)</f>
        <v>0</v>
      </c>
      <c r="H63" s="1">
        <f>SUM(OSRRefD21_8x_4)</f>
        <v>0</v>
      </c>
      <c r="I63" s="1">
        <f>SUM(OSRRefD21_8x_5)</f>
        <v>0</v>
      </c>
      <c r="J63" s="1">
        <f>SUM(OSRRefD21_8x_6)</f>
        <v>0</v>
      </c>
      <c r="K63" s="1">
        <f>SUM(OSRRefD21_8x_7)</f>
        <v>0</v>
      </c>
      <c r="L63" s="1">
        <f>SUM(OSRRefD21_8x_8)</f>
        <v>0</v>
      </c>
      <c r="M63" s="1">
        <f>SUM(OSRRefD21_8x_9)</f>
        <v>2.96</v>
      </c>
      <c r="N63" s="1">
        <f>SUM(OSRRefE21_8x_0)</f>
        <v>0</v>
      </c>
      <c r="O63" s="1">
        <f>SUM(OSRRefE21_8x_1)</f>
        <v>0</v>
      </c>
      <c r="Q63" s="2">
        <f>SUM(OSRRefD20_8x)+IFERROR(SUM(OSRRefE20_8x),0)</f>
        <v>-2.4500000000000002</v>
      </c>
    </row>
    <row r="64" spans="1:17" s="34" customFormat="1" hidden="1" outlineLevel="1" x14ac:dyDescent="0.25">
      <c r="A64" s="35"/>
      <c r="B64" s="10" t="str">
        <f>CONCATENATE("          ","6307", " - ","POSTAGE")</f>
        <v xml:space="preserve">          6307 - POSTAGE</v>
      </c>
      <c r="C64" s="11"/>
      <c r="D64" s="2"/>
      <c r="E64" s="2"/>
      <c r="F64" s="2">
        <v>-5.41</v>
      </c>
      <c r="G64" s="2"/>
      <c r="H64" s="2"/>
      <c r="I64" s="2"/>
      <c r="J64" s="2"/>
      <c r="K64" s="2"/>
      <c r="L64" s="2"/>
      <c r="M64" s="2">
        <v>2.96</v>
      </c>
      <c r="N64" s="2"/>
      <c r="O64" s="2"/>
      <c r="P64" s="9"/>
      <c r="Q64" s="2">
        <f>SUM(OSRRefD21_8_0x)+IFERROR(SUM(OSRRefE21_8_0x),0)</f>
        <v>-2.4500000000000002</v>
      </c>
    </row>
    <row r="65" spans="1:17" s="34" customFormat="1" collapsed="1" x14ac:dyDescent="0.25">
      <c r="A65" s="35"/>
      <c r="B65" s="11" t="str">
        <f>CONCATENATE("     ","General                                           ")</f>
        <v xml:space="preserve">     General                                           </v>
      </c>
      <c r="C65" s="11"/>
      <c r="D65" s="1">
        <f>SUM(OSRRefD21_9x_0)</f>
        <v>4323.2</v>
      </c>
      <c r="E65" s="1">
        <f>SUM(OSRRefD21_9x_1)</f>
        <v>-1107.27</v>
      </c>
      <c r="F65" s="1">
        <f>SUM(OSRRefD21_9x_2)</f>
        <v>550.52</v>
      </c>
      <c r="G65" s="1">
        <f>SUM(OSRRefD21_9x_3)</f>
        <v>0</v>
      </c>
      <c r="H65" s="1">
        <f>SUM(OSRRefD21_9x_4)</f>
        <v>455</v>
      </c>
      <c r="I65" s="1">
        <f>SUM(OSRRefD21_9x_5)</f>
        <v>459</v>
      </c>
      <c r="J65" s="1">
        <f>SUM(OSRRefD21_9x_6)</f>
        <v>397</v>
      </c>
      <c r="K65" s="1">
        <f>SUM(OSRRefD21_9x_7)</f>
        <v>1893.03</v>
      </c>
      <c r="L65" s="1">
        <f>SUM(OSRRefD21_9x_8)</f>
        <v>455</v>
      </c>
      <c r="M65" s="1">
        <f>SUM(OSRRefD21_9x_9)</f>
        <v>205</v>
      </c>
      <c r="N65" s="1">
        <f>SUM(OSRRefE21_9x_0)</f>
        <v>0</v>
      </c>
      <c r="O65" s="1">
        <f>SUM(OSRRefE21_9x_1)</f>
        <v>0</v>
      </c>
      <c r="Q65" s="2">
        <f>SUM(OSRRefD20_9x)+IFERROR(SUM(OSRRefE20_9x),0)</f>
        <v>7630.48</v>
      </c>
    </row>
    <row r="66" spans="1:17" s="34" customFormat="1" hidden="1" outlineLevel="1" x14ac:dyDescent="0.25">
      <c r="A66" s="35"/>
      <c r="B66" s="10" t="str">
        <f>CONCATENATE("          ","6279", " - ","GENERAL EXPENSE")</f>
        <v xml:space="preserve">          6279 - GENERAL EXPENSE</v>
      </c>
      <c r="C66" s="11"/>
      <c r="D66" s="2">
        <v>4323.2</v>
      </c>
      <c r="E66" s="2">
        <v>-1107.27</v>
      </c>
      <c r="F66" s="2">
        <v>550.52</v>
      </c>
      <c r="G66" s="2"/>
      <c r="H66" s="2">
        <v>455</v>
      </c>
      <c r="I66" s="2">
        <v>459</v>
      </c>
      <c r="J66" s="2">
        <v>397</v>
      </c>
      <c r="K66" s="2">
        <v>1893.03</v>
      </c>
      <c r="L66" s="2">
        <v>455</v>
      </c>
      <c r="M66" s="2">
        <v>205</v>
      </c>
      <c r="N66" s="2">
        <v>0</v>
      </c>
      <c r="O66" s="2">
        <v>0</v>
      </c>
      <c r="P66" s="9"/>
      <c r="Q66" s="2">
        <f>SUM(OSRRefD21_9_0x)+IFERROR(SUM(OSRRefE21_9_0x),0)</f>
        <v>7630.48</v>
      </c>
    </row>
    <row r="67" spans="1:17" s="34" customFormat="1" collapsed="1" x14ac:dyDescent="0.25">
      <c r="A67" s="35"/>
      <c r="B67" s="11" t="str">
        <f>CONCATENATE("     ","Insurance                                         ")</f>
        <v xml:space="preserve">     Insurance                                         </v>
      </c>
      <c r="C67" s="11"/>
      <c r="D67" s="1">
        <f>SUM(OSRRefD21_10x_0)</f>
        <v>4240.13</v>
      </c>
      <c r="E67" s="1">
        <f>SUM(OSRRefD21_10x_1)</f>
        <v>4240.13</v>
      </c>
      <c r="F67" s="1">
        <f>SUM(OSRRefD21_10x_2)</f>
        <v>4240.13</v>
      </c>
      <c r="G67" s="1">
        <f>SUM(OSRRefD21_10x_3)</f>
        <v>10352.129999999999</v>
      </c>
      <c r="H67" s="1">
        <f>SUM(OSRRefD21_10x_4)</f>
        <v>4240.13</v>
      </c>
      <c r="I67" s="1">
        <f>SUM(OSRRefD21_10x_5)</f>
        <v>4240.13</v>
      </c>
      <c r="J67" s="1">
        <f>SUM(OSRRefD21_10x_6)</f>
        <v>4240.13</v>
      </c>
      <c r="K67" s="1">
        <f>SUM(OSRRefD21_10x_7)</f>
        <v>4240.13</v>
      </c>
      <c r="L67" s="1">
        <f>SUM(OSRRefD21_10x_8)</f>
        <v>4240.13</v>
      </c>
      <c r="M67" s="1">
        <f>SUM(OSRRefD21_10x_9)</f>
        <v>4240.13</v>
      </c>
      <c r="N67" s="1">
        <f>SUM(OSRRefE21_10x_0)</f>
        <v>4565</v>
      </c>
      <c r="O67" s="1">
        <f>SUM(OSRRefE21_10x_1)</f>
        <v>4565</v>
      </c>
      <c r="Q67" s="2">
        <f>SUM(OSRRefD20_10x)+IFERROR(SUM(OSRRefE20_10x),0)</f>
        <v>57643.299999999988</v>
      </c>
    </row>
    <row r="68" spans="1:17" s="34" customFormat="1" hidden="1" outlineLevel="1" x14ac:dyDescent="0.25">
      <c r="A68" s="35"/>
      <c r="B68" s="10" t="str">
        <f>CONCATENATE("          ","6314", " - ","LIABILITY INSURANCE")</f>
        <v xml:space="preserve">          6314 - LIABILITY INSURANCE</v>
      </c>
      <c r="C68" s="11"/>
      <c r="D68" s="2">
        <v>4240.13</v>
      </c>
      <c r="E68" s="2">
        <v>4240.13</v>
      </c>
      <c r="F68" s="2">
        <v>4240.13</v>
      </c>
      <c r="G68" s="2">
        <v>10352.129999999999</v>
      </c>
      <c r="H68" s="2">
        <v>4240.13</v>
      </c>
      <c r="I68" s="2">
        <v>4240.13</v>
      </c>
      <c r="J68" s="2">
        <v>4240.13</v>
      </c>
      <c r="K68" s="2">
        <v>4240.13</v>
      </c>
      <c r="L68" s="2">
        <v>4240.13</v>
      </c>
      <c r="M68" s="2">
        <v>4240.13</v>
      </c>
      <c r="N68" s="2">
        <v>4565</v>
      </c>
      <c r="O68" s="2">
        <v>4565</v>
      </c>
      <c r="P68" s="9"/>
      <c r="Q68" s="2">
        <f>SUM(OSRRefD21_10_0x)+IFERROR(SUM(OSRRefE21_10_0x),0)</f>
        <v>57643.299999999988</v>
      </c>
    </row>
    <row r="69" spans="1:17" s="34" customFormat="1" collapsed="1" x14ac:dyDescent="0.25">
      <c r="A69" s="35"/>
      <c r="B69" s="11" t="str">
        <f>CONCATENATE("     ","Interest                                          ")</f>
        <v xml:space="preserve">     Interest                                          </v>
      </c>
      <c r="C69" s="11"/>
      <c r="D69" s="1">
        <f>SUM(OSRRefD21_11x_0)</f>
        <v>7510</v>
      </c>
      <c r="E69" s="1">
        <f>SUM(OSRRefD21_11x_1)</f>
        <v>7510</v>
      </c>
      <c r="F69" s="1">
        <f>SUM(OSRRefD21_11x_2)</f>
        <v>7510</v>
      </c>
      <c r="G69" s="1">
        <f>SUM(OSRRefD21_11x_3)</f>
        <v>7023.15</v>
      </c>
      <c r="H69" s="1">
        <f>SUM(OSRRefD21_11x_4)</f>
        <v>7510</v>
      </c>
      <c r="I69" s="1">
        <f>SUM(OSRRefD21_11x_5)</f>
        <v>7510</v>
      </c>
      <c r="J69" s="1">
        <f>SUM(OSRRefD21_11x_6)</f>
        <v>7510</v>
      </c>
      <c r="K69" s="1">
        <f>SUM(OSRRefD21_11x_7)</f>
        <v>7510</v>
      </c>
      <c r="L69" s="1">
        <f>SUM(OSRRefD21_11x_8)</f>
        <v>7510</v>
      </c>
      <c r="M69" s="1">
        <f>SUM(OSRRefD21_11x_9)</f>
        <v>5967</v>
      </c>
      <c r="N69" s="1">
        <f>SUM(OSRRefE21_11x_0)</f>
        <v>7253</v>
      </c>
      <c r="O69" s="1">
        <f>SUM(OSRRefE21_11x_1)</f>
        <v>7253</v>
      </c>
      <c r="Q69" s="2">
        <f>SUM(OSRRefD20_11x)+IFERROR(SUM(OSRRefE20_11x),0)</f>
        <v>87576.15</v>
      </c>
    </row>
    <row r="70" spans="1:17" s="34" customFormat="1" hidden="1" outlineLevel="1" x14ac:dyDescent="0.25">
      <c r="A70" s="35"/>
      <c r="B70" s="10" t="str">
        <f>CONCATENATE("          ","6401", " - ","INTEREST EXPENSE")</f>
        <v xml:space="preserve">          6401 - INTEREST EXPENSE</v>
      </c>
      <c r="C70" s="11"/>
      <c r="D70" s="2">
        <v>7510</v>
      </c>
      <c r="E70" s="2">
        <v>7510</v>
      </c>
      <c r="F70" s="2">
        <v>7510</v>
      </c>
      <c r="G70" s="2">
        <v>7023.15</v>
      </c>
      <c r="H70" s="2">
        <v>7510</v>
      </c>
      <c r="I70" s="2">
        <v>7510</v>
      </c>
      <c r="J70" s="2">
        <v>7510</v>
      </c>
      <c r="K70" s="2">
        <v>7510</v>
      </c>
      <c r="L70" s="2">
        <v>7510</v>
      </c>
      <c r="M70" s="2">
        <v>5967</v>
      </c>
      <c r="N70" s="2">
        <v>7253</v>
      </c>
      <c r="O70" s="2">
        <v>7253</v>
      </c>
      <c r="P70" s="9"/>
      <c r="Q70" s="2">
        <f>SUM(OSRRefD21_11_0x)+IFERROR(SUM(OSRRefE21_11_0x),0)</f>
        <v>87576.15</v>
      </c>
    </row>
    <row r="71" spans="1:17" s="34" customFormat="1" collapsed="1" x14ac:dyDescent="0.25">
      <c r="A71" s="35"/>
      <c r="B71" s="11" t="str">
        <f>CONCATENATE("     ","R/H Commissions                                   ")</f>
        <v xml:space="preserve">     R/H Commissions                                   </v>
      </c>
      <c r="C71" s="11"/>
      <c r="D71" s="1">
        <f>SUM(OSRRefD21_12x_0)</f>
        <v>0</v>
      </c>
      <c r="E71" s="1">
        <f>SUM(OSRRefD21_12x_1)</f>
        <v>0</v>
      </c>
      <c r="F71" s="1">
        <f>SUM(OSRRefD21_12x_2)</f>
        <v>0</v>
      </c>
      <c r="G71" s="1">
        <f>SUM(OSRRefD21_12x_3)</f>
        <v>0</v>
      </c>
      <c r="H71" s="1">
        <f>SUM(OSRRefD21_12x_4)</f>
        <v>0</v>
      </c>
      <c r="I71" s="1">
        <f>SUM(OSRRefD21_12x_5)</f>
        <v>0</v>
      </c>
      <c r="J71" s="1">
        <f>SUM(OSRRefD21_12x_6)</f>
        <v>0</v>
      </c>
      <c r="K71" s="1">
        <f>SUM(OSRRefD21_12x_7)</f>
        <v>0</v>
      </c>
      <c r="L71" s="1">
        <f>SUM(OSRRefD21_12x_8)</f>
        <v>0</v>
      </c>
      <c r="M71" s="1">
        <f>SUM(OSRRefD21_12x_9)</f>
        <v>0</v>
      </c>
      <c r="N71" s="1">
        <f>SUM(OSRRefE21_12x_0)</f>
        <v>0</v>
      </c>
      <c r="O71" s="1">
        <f>SUM(OSRRefE21_12x_1)</f>
        <v>2000</v>
      </c>
      <c r="Q71" s="2">
        <f>SUM(OSRRefD20_12x)+IFERROR(SUM(OSRRefE20_12x),0)</f>
        <v>2000</v>
      </c>
    </row>
    <row r="72" spans="1:17" s="34" customFormat="1" hidden="1" outlineLevel="1" x14ac:dyDescent="0.25">
      <c r="A72" s="35"/>
      <c r="B72" s="10" t="str">
        <f>CONCATENATE("          ","6387", " - ","COMMISSION DUE HOUSING")</f>
        <v xml:space="preserve">          6387 - COMMISSION DUE HOUSING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2000</v>
      </c>
      <c r="P72" s="9"/>
      <c r="Q72" s="2">
        <f>SUM(OSRRefD21_12_0x)+IFERROR(SUM(OSRRefE21_12_0x),0)</f>
        <v>2000</v>
      </c>
    </row>
    <row r="73" spans="1:17" s="34" customFormat="1" collapsed="1" x14ac:dyDescent="0.25">
      <c r="A73" s="35"/>
      <c r="B73" s="11" t="str">
        <f>CONCATENATE("     ","Rent                                              ")</f>
        <v xml:space="preserve">     Rent                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5550</v>
      </c>
      <c r="G73" s="1">
        <f>SUM(OSRRefD21_13x_3)</f>
        <v>0</v>
      </c>
      <c r="H73" s="1">
        <f>SUM(OSRRefD21_13x_4)</f>
        <v>0</v>
      </c>
      <c r="I73" s="1">
        <f>SUM(OSRRefD21_13x_5)</f>
        <v>5550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1850</v>
      </c>
      <c r="N73" s="1">
        <f>SUM(OSRRefE21_13x_0)</f>
        <v>1943</v>
      </c>
      <c r="O73" s="1">
        <f>SUM(OSRRefE21_13x_1)</f>
        <v>1943</v>
      </c>
      <c r="Q73" s="2">
        <f>SUM(OSRRefD20_13x)+IFERROR(SUM(OSRRefE20_13x),0)</f>
        <v>16836</v>
      </c>
    </row>
    <row r="74" spans="1:17" s="34" customFormat="1" hidden="1" outlineLevel="1" x14ac:dyDescent="0.25">
      <c r="A74" s="35"/>
      <c r="B74" s="10" t="str">
        <f>CONCATENATE("          ","6273", " - ","RENT")</f>
        <v xml:space="preserve">          6273 - RENT</v>
      </c>
      <c r="C74" s="11"/>
      <c r="D74" s="2"/>
      <c r="E74" s="2"/>
      <c r="F74" s="2">
        <v>5550</v>
      </c>
      <c r="G74" s="2"/>
      <c r="H74" s="2"/>
      <c r="I74" s="2">
        <v>5550</v>
      </c>
      <c r="J74" s="2"/>
      <c r="K74" s="2"/>
      <c r="L74" s="2"/>
      <c r="M74" s="2">
        <v>1850</v>
      </c>
      <c r="N74" s="2">
        <v>1943</v>
      </c>
      <c r="O74" s="2">
        <v>1943</v>
      </c>
      <c r="P74" s="9"/>
      <c r="Q74" s="2">
        <f>SUM(OSRRefD21_13_0x)+IFERROR(SUM(OSRRefE21_13_0x),0)</f>
        <v>16836</v>
      </c>
    </row>
    <row r="75" spans="1:17" s="34" customFormat="1" collapsed="1" x14ac:dyDescent="0.25">
      <c r="A75" s="35"/>
      <c r="B75" s="11" t="str">
        <f>CONCATENATE("     ","Repair and Maintenance                            ")</f>
        <v xml:space="preserve">     Repair and Maintenance                            </v>
      </c>
      <c r="C75" s="11"/>
      <c r="D75" s="1">
        <f>SUM(OSRRefD21_14x_0)</f>
        <v>4110.41</v>
      </c>
      <c r="E75" s="1">
        <f>SUM(OSRRefD21_14x_1)</f>
        <v>4288.76</v>
      </c>
      <c r="F75" s="1">
        <f>SUM(OSRRefD21_14x_2)</f>
        <v>2608.58</v>
      </c>
      <c r="G75" s="1">
        <f>SUM(OSRRefD21_14x_3)</f>
        <v>3999.3799999999997</v>
      </c>
      <c r="H75" s="1">
        <f>SUM(OSRRefD21_14x_4)</f>
        <v>3165.13</v>
      </c>
      <c r="I75" s="1">
        <f>SUM(OSRRefD21_14x_5)</f>
        <v>1686.72</v>
      </c>
      <c r="J75" s="1">
        <f>SUM(OSRRefD21_14x_6)</f>
        <v>2909.21</v>
      </c>
      <c r="K75" s="1">
        <f>SUM(OSRRefD21_14x_7)</f>
        <v>2036.1299999999999</v>
      </c>
      <c r="L75" s="1">
        <f>SUM(OSRRefD21_14x_8)</f>
        <v>17049.71</v>
      </c>
      <c r="M75" s="1">
        <f>SUM(OSRRefD21_14x_9)</f>
        <v>2052.63</v>
      </c>
      <c r="N75" s="1">
        <f>SUM(OSRRefE21_14x_0)</f>
        <v>1000</v>
      </c>
      <c r="O75" s="1">
        <f>SUM(OSRRefE21_14x_1)</f>
        <v>0</v>
      </c>
      <c r="Q75" s="2">
        <f>SUM(OSRRefD20_14x)+IFERROR(SUM(OSRRefE20_14x),0)</f>
        <v>44906.659999999996</v>
      </c>
    </row>
    <row r="76" spans="1:17" s="34" customFormat="1" hidden="1" outlineLevel="1" x14ac:dyDescent="0.25">
      <c r="A76" s="35"/>
      <c r="B76" s="10" t="str">
        <f>CONCATENATE("          ","6371", " - ","COMPUTER SOFTWARE MAINTENANCE")</f>
        <v xml:space="preserve">          6371 - COMPUTER SOFTWARE MAINTENANCE</v>
      </c>
      <c r="C76" s="11"/>
      <c r="D76" s="2"/>
      <c r="E76" s="2"/>
      <c r="F76" s="2"/>
      <c r="G76" s="2"/>
      <c r="H76" s="2"/>
      <c r="I76" s="2"/>
      <c r="J76" s="2"/>
      <c r="K76" s="2">
        <v>702.27</v>
      </c>
      <c r="L76" s="2"/>
      <c r="M76" s="2"/>
      <c r="N76" s="2"/>
      <c r="O76" s="2"/>
      <c r="P76" s="9"/>
      <c r="Q76" s="2">
        <f>SUM(OSRRefD21_14_0x)+IFERROR(SUM(OSRRefE21_14_0x),0)</f>
        <v>702.27</v>
      </c>
    </row>
    <row r="77" spans="1:17" s="34" customFormat="1" hidden="1" outlineLevel="1" x14ac:dyDescent="0.25">
      <c r="A77" s="35"/>
      <c r="B77" s="10" t="str">
        <f>CONCATENATE("          ","6372", " - ","COMPUTER HARDWARE MAINTENANCE")</f>
        <v xml:space="preserve">          6372 - COMPUTER HARDWARE MAINTENANCE</v>
      </c>
      <c r="C77" s="11"/>
      <c r="D77" s="2"/>
      <c r="E77" s="2"/>
      <c r="F77" s="2"/>
      <c r="G77" s="2"/>
      <c r="H77" s="2"/>
      <c r="I77" s="2"/>
      <c r="J77" s="2"/>
      <c r="K77" s="2"/>
      <c r="L77" s="2">
        <v>100</v>
      </c>
      <c r="M77" s="2"/>
      <c r="N77" s="2"/>
      <c r="O77" s="2"/>
      <c r="P77" s="9"/>
      <c r="Q77" s="2">
        <f>SUM(OSRRefD21_14_1x)+IFERROR(SUM(OSRRefE21_14_1x),0)</f>
        <v>100</v>
      </c>
    </row>
    <row r="78" spans="1:17" s="34" customFormat="1" hidden="1" outlineLevel="1" x14ac:dyDescent="0.25">
      <c r="A78" s="35"/>
      <c r="B78" s="10" t="str">
        <f>CONCATENATE("          ","6373", " - ","MAINTENANCE CONTRACTS")</f>
        <v xml:space="preserve">          6373 - MAINTENANCE CONTRACTS</v>
      </c>
      <c r="C78" s="11"/>
      <c r="D78" s="2">
        <v>2353.59</v>
      </c>
      <c r="E78" s="2">
        <v>1687.36</v>
      </c>
      <c r="F78" s="2">
        <v>1656.76</v>
      </c>
      <c r="G78" s="2">
        <v>3179.47</v>
      </c>
      <c r="H78" s="2">
        <v>900.01</v>
      </c>
      <c r="I78" s="2">
        <v>1244.25</v>
      </c>
      <c r="J78" s="2"/>
      <c r="K78" s="2"/>
      <c r="L78" s="2">
        <v>7202.36</v>
      </c>
      <c r="M78" s="2"/>
      <c r="N78" s="2">
        <v>0</v>
      </c>
      <c r="O78" s="2">
        <v>0</v>
      </c>
      <c r="P78" s="9"/>
      <c r="Q78" s="2">
        <f>SUM(OSRRefD21_14_2x)+IFERROR(SUM(OSRRefE21_14_2x),0)</f>
        <v>18223.8</v>
      </c>
    </row>
    <row r="79" spans="1:17" s="34" customFormat="1" hidden="1" outlineLevel="1" x14ac:dyDescent="0.25">
      <c r="A79" s="35"/>
      <c r="B79" s="10" t="str">
        <f>CONCATENATE("          ","6375", " - ","OUTSIDE REPAIRS &amp; MAINTENANCE")</f>
        <v xml:space="preserve">          6375 - OUTSIDE REPAIRS &amp; MAINTENANCE</v>
      </c>
      <c r="C79" s="11"/>
      <c r="D79" s="2">
        <v>1756.82</v>
      </c>
      <c r="E79" s="2">
        <v>2601.4</v>
      </c>
      <c r="F79" s="2">
        <v>951.82</v>
      </c>
      <c r="G79" s="2">
        <v>819.91</v>
      </c>
      <c r="H79" s="2">
        <v>2265.12</v>
      </c>
      <c r="I79" s="2">
        <v>442.47</v>
      </c>
      <c r="J79" s="2">
        <v>2909.21</v>
      </c>
      <c r="K79" s="2">
        <v>1333.86</v>
      </c>
      <c r="L79" s="2">
        <v>9747.35</v>
      </c>
      <c r="M79" s="2">
        <v>2052.63</v>
      </c>
      <c r="N79" s="2">
        <v>1000</v>
      </c>
      <c r="O79" s="2">
        <v>0</v>
      </c>
      <c r="P79" s="9"/>
      <c r="Q79" s="2">
        <f>SUM(OSRRefD21_14_3x)+IFERROR(SUM(OSRRefE21_14_3x),0)</f>
        <v>25880.59</v>
      </c>
    </row>
    <row r="80" spans="1:17" s="34" customFormat="1" collapsed="1" x14ac:dyDescent="0.25">
      <c r="A80" s="35"/>
      <c r="B80" s="11" t="str">
        <f>CONCATENATE("     ","Royalty &amp; Commissions                             ")</f>
        <v xml:space="preserve">     Royalty &amp; Commissions                             </v>
      </c>
      <c r="C80" s="11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0</v>
      </c>
      <c r="H80" s="1">
        <f>SUM(OSRRefD21_15x_4)</f>
        <v>0</v>
      </c>
      <c r="I80" s="1">
        <f>SUM(OSRRefD21_15x_5)</f>
        <v>0</v>
      </c>
      <c r="J80" s="1">
        <f>SUM(OSRRefD21_15x_6)</f>
        <v>0</v>
      </c>
      <c r="K80" s="1">
        <f>SUM(OSRRefD21_15x_7)</f>
        <v>0</v>
      </c>
      <c r="L80" s="1">
        <f>SUM(OSRRefD21_15x_8)</f>
        <v>0</v>
      </c>
      <c r="M80" s="1">
        <f>SUM(OSRRefD21_15x_9)</f>
        <v>0</v>
      </c>
      <c r="N80" s="1">
        <f>SUM(OSRRefE21_15x_0)</f>
        <v>0</v>
      </c>
      <c r="O80" s="1">
        <f>SUM(OSRRefE21_15x_1)</f>
        <v>0</v>
      </c>
      <c r="Q80" s="2">
        <f>SUM(OSRRefD20_15x)+IFERROR(SUM(OSRRefE20_15x),0)</f>
        <v>0</v>
      </c>
    </row>
    <row r="81" spans="1:17" s="34" customFormat="1" hidden="1" outlineLevel="1" x14ac:dyDescent="0.25">
      <c r="A81" s="35"/>
      <c r="B81" s="10" t="str">
        <f>CONCATENATE("          ","6254", " - ","ROYALTY &amp; COMMISSIONS")</f>
        <v xml:space="preserve">          6254 - ROYALTY &amp; COMMISSIONS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>
        <v>0</v>
      </c>
      <c r="O81" s="2">
        <v>0</v>
      </c>
      <c r="P81" s="9"/>
      <c r="Q81" s="2">
        <f>SUM(OSRRefD21_15_0x)+IFERROR(SUM(OSRRefE21_15_0x),0)</f>
        <v>0</v>
      </c>
    </row>
    <row r="82" spans="1:17" s="34" customFormat="1" hidden="1" outlineLevel="1" x14ac:dyDescent="0.25">
      <c r="A82" s="35"/>
      <c r="B82" s="10" t="str">
        <f>CONCATENATE("          ","6259", " - ","ROYALTY &amp; COMMISSIONS")</f>
        <v xml:space="preserve">          6259 - ROYALTY &amp; COMMISSIONS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>
        <v>0</v>
      </c>
      <c r="O82" s="2">
        <v>0</v>
      </c>
      <c r="P82" s="9"/>
      <c r="Q82" s="2">
        <f>SUM(OSRRefD21_15_1x)+IFERROR(SUM(OSRRefE21_15_1x),0)</f>
        <v>0</v>
      </c>
    </row>
    <row r="83" spans="1:17" s="34" customFormat="1" collapsed="1" x14ac:dyDescent="0.25">
      <c r="A83" s="35"/>
      <c r="B83" s="11" t="str">
        <f>CONCATENATE("     ","Services                                          ")</f>
        <v xml:space="preserve">     Services                                          </v>
      </c>
      <c r="C83" s="11"/>
      <c r="D83" s="1">
        <f>SUM(OSRRefD21_16x_0)</f>
        <v>1607.1999999999998</v>
      </c>
      <c r="E83" s="1">
        <f>SUM(OSRRefD21_16x_1)</f>
        <v>4789.1799999999994</v>
      </c>
      <c r="F83" s="1">
        <f>SUM(OSRRefD21_16x_2)</f>
        <v>4131.68</v>
      </c>
      <c r="G83" s="1">
        <f>SUM(OSRRefD21_16x_3)</f>
        <v>6452.73</v>
      </c>
      <c r="H83" s="1">
        <f>SUM(OSRRefD21_16x_4)</f>
        <v>8548.44</v>
      </c>
      <c r="I83" s="1">
        <f>SUM(OSRRefD21_16x_5)</f>
        <v>11160.029999999999</v>
      </c>
      <c r="J83" s="1">
        <f>SUM(OSRRefD21_16x_6)</f>
        <v>7309.42</v>
      </c>
      <c r="K83" s="1">
        <f>SUM(OSRRefD21_16x_7)</f>
        <v>6107.21</v>
      </c>
      <c r="L83" s="1">
        <f>SUM(OSRRefD21_16x_8)</f>
        <v>-5689.18</v>
      </c>
      <c r="M83" s="1">
        <f>SUM(OSRRefD21_16x_9)</f>
        <v>10464.52</v>
      </c>
      <c r="N83" s="1">
        <f>SUM(OSRRefE21_16x_0)</f>
        <v>7119</v>
      </c>
      <c r="O83" s="1">
        <f>SUM(OSRRefE21_16x_1)</f>
        <v>7894</v>
      </c>
      <c r="Q83" s="2">
        <f>SUM(OSRRefD20_16x)+IFERROR(SUM(OSRRefE20_16x),0)</f>
        <v>69894.23</v>
      </c>
    </row>
    <row r="84" spans="1:17" s="34" customFormat="1" hidden="1" outlineLevel="1" x14ac:dyDescent="0.25">
      <c r="A84" s="35"/>
      <c r="B84" s="10" t="str">
        <f>CONCATENATE("          ","6282", " - ","JANITORIAL/EXTERMINATOR EXPENS")</f>
        <v xml:space="preserve">          6282 - JANITORIAL/EXTERMINATOR EXPENS</v>
      </c>
      <c r="C84" s="11"/>
      <c r="D84" s="2">
        <v>286.62</v>
      </c>
      <c r="E84" s="2">
        <v>485.89</v>
      </c>
      <c r="F84" s="2">
        <v>8.36</v>
      </c>
      <c r="G84" s="2">
        <v>971.78</v>
      </c>
      <c r="H84" s="2"/>
      <c r="I84" s="2">
        <v>2505.04</v>
      </c>
      <c r="J84" s="2">
        <v>1940.42</v>
      </c>
      <c r="K84" s="2">
        <v>626.26</v>
      </c>
      <c r="L84" s="2">
        <v>1581.06</v>
      </c>
      <c r="M84" s="2">
        <v>1710</v>
      </c>
      <c r="N84" s="2">
        <v>955</v>
      </c>
      <c r="O84" s="2">
        <v>1582</v>
      </c>
      <c r="P84" s="9"/>
      <c r="Q84" s="2">
        <f>SUM(OSRRefD21_16_0x)+IFERROR(SUM(OSRRefE21_16_0x),0)</f>
        <v>12652.43</v>
      </c>
    </row>
    <row r="85" spans="1:17" s="34" customFormat="1" hidden="1" outlineLevel="1" x14ac:dyDescent="0.25">
      <c r="A85" s="35"/>
      <c r="B85" s="10" t="str">
        <f>CONCATENATE("          ","6283", " - ","PLANT SERVICE")</f>
        <v xml:space="preserve">          6283 - PLANT SERVICE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>
        <v>0</v>
      </c>
      <c r="O85" s="2">
        <v>0</v>
      </c>
      <c r="P85" s="9"/>
      <c r="Q85" s="2">
        <f>SUM(OSRRefD21_16_1x)+IFERROR(SUM(OSRRefE21_16_1x),0)</f>
        <v>0</v>
      </c>
    </row>
    <row r="86" spans="1:17" s="34" customFormat="1" hidden="1" outlineLevel="1" x14ac:dyDescent="0.25">
      <c r="A86" s="35"/>
      <c r="B86" s="10" t="str">
        <f>CONCATENATE("          ","6284", " - ","TRASH REMOVAL EXPENSE")</f>
        <v xml:space="preserve">          6284 - TRASH REMOVAL EXPENSE</v>
      </c>
      <c r="C86" s="11"/>
      <c r="D86" s="2">
        <v>1000</v>
      </c>
      <c r="E86" s="2">
        <v>1000</v>
      </c>
      <c r="F86" s="2">
        <v>761</v>
      </c>
      <c r="G86" s="2">
        <v>5369</v>
      </c>
      <c r="H86" s="2">
        <v>5369</v>
      </c>
      <c r="I86" s="2">
        <v>5369</v>
      </c>
      <c r="J86" s="2">
        <v>5369</v>
      </c>
      <c r="K86" s="2">
        <v>5369</v>
      </c>
      <c r="L86" s="2">
        <v>-8963</v>
      </c>
      <c r="M86" s="2">
        <v>5369</v>
      </c>
      <c r="N86" s="2">
        <v>3123</v>
      </c>
      <c r="O86" s="2">
        <v>3123</v>
      </c>
      <c r="P86" s="9"/>
      <c r="Q86" s="2">
        <f>SUM(OSRRefD21_16_2x)+IFERROR(SUM(OSRRefE21_16_2x),0)</f>
        <v>32258</v>
      </c>
    </row>
    <row r="87" spans="1:17" s="34" customFormat="1" hidden="1" outlineLevel="1" x14ac:dyDescent="0.25">
      <c r="A87" s="35"/>
      <c r="B87" s="10" t="str">
        <f>CONCATENATE("          ","6285", " - ","JANITORIAL SERVICES")</f>
        <v xml:space="preserve">          6285 - JANITORIAL SERVICES</v>
      </c>
      <c r="C87" s="11"/>
      <c r="D87" s="2"/>
      <c r="E87" s="2">
        <v>3155.58</v>
      </c>
      <c r="F87" s="2">
        <v>3256.35</v>
      </c>
      <c r="G87" s="2"/>
      <c r="H87" s="2">
        <v>3179.44</v>
      </c>
      <c r="I87" s="2">
        <v>3179.44</v>
      </c>
      <c r="J87" s="2">
        <v>0</v>
      </c>
      <c r="K87" s="2">
        <v>0</v>
      </c>
      <c r="L87" s="2">
        <v>1692.76</v>
      </c>
      <c r="M87" s="2">
        <v>3385.52</v>
      </c>
      <c r="N87" s="2">
        <v>3041</v>
      </c>
      <c r="O87" s="2">
        <v>3041</v>
      </c>
      <c r="P87" s="9"/>
      <c r="Q87" s="2">
        <f>SUM(OSRRefD21_16_3x)+IFERROR(SUM(OSRRefE21_16_3x),0)</f>
        <v>23931.09</v>
      </c>
    </row>
    <row r="88" spans="1:17" s="34" customFormat="1" hidden="1" outlineLevel="1" x14ac:dyDescent="0.25">
      <c r="A88" s="35"/>
      <c r="B88" s="10" t="str">
        <f>CONCATENATE("          ","6286", " - ","LAUNDRY EXPENSE")</f>
        <v xml:space="preserve">          6286 - LAUNDRY EXPENSE</v>
      </c>
      <c r="C88" s="11"/>
      <c r="D88" s="2">
        <v>320.58</v>
      </c>
      <c r="E88" s="2">
        <v>147.71</v>
      </c>
      <c r="F88" s="2">
        <v>105.97</v>
      </c>
      <c r="G88" s="2">
        <v>111.95</v>
      </c>
      <c r="H88" s="2"/>
      <c r="I88" s="2">
        <v>106.55</v>
      </c>
      <c r="J88" s="2"/>
      <c r="K88" s="2">
        <v>111.95</v>
      </c>
      <c r="L88" s="2"/>
      <c r="M88" s="2"/>
      <c r="N88" s="2">
        <v>0</v>
      </c>
      <c r="O88" s="2">
        <v>148</v>
      </c>
      <c r="P88" s="9"/>
      <c r="Q88" s="2">
        <f>SUM(OSRRefD21_16_4x)+IFERROR(SUM(OSRRefE21_16_4x),0)</f>
        <v>1052.71</v>
      </c>
    </row>
    <row r="89" spans="1:17" s="34" customFormat="1" collapsed="1" x14ac:dyDescent="0.25">
      <c r="A89" s="35"/>
      <c r="B89" s="11" t="str">
        <f>CONCATENATE("     ","Subscriptions &amp; Dues                              ")</f>
        <v xml:space="preserve">     Subscriptions &amp; Dues                              </v>
      </c>
      <c r="C89" s="11"/>
      <c r="D89" s="1">
        <f>SUM(OSRRefD21_17x_0)</f>
        <v>9.32</v>
      </c>
      <c r="E89" s="1">
        <f>SUM(OSRRefD21_17x_1)</f>
        <v>0</v>
      </c>
      <c r="F89" s="1">
        <f>SUM(OSRRefD21_17x_2)</f>
        <v>131.34</v>
      </c>
      <c r="G89" s="1">
        <f>SUM(OSRRefD21_17x_3)</f>
        <v>130.66999999999999</v>
      </c>
      <c r="H89" s="1">
        <f>SUM(OSRRefD21_17x_4)</f>
        <v>0</v>
      </c>
      <c r="I89" s="1">
        <f>SUM(OSRRefD21_17x_5)</f>
        <v>262.83999999999997</v>
      </c>
      <c r="J89" s="1">
        <f>SUM(OSRRefD21_17x_6)</f>
        <v>0</v>
      </c>
      <c r="K89" s="1">
        <f>SUM(OSRRefD21_17x_7)</f>
        <v>262.83999999999997</v>
      </c>
      <c r="L89" s="1">
        <f>SUM(OSRRefD21_17x_8)</f>
        <v>119.07</v>
      </c>
      <c r="M89" s="1">
        <f>SUM(OSRRefD21_17x_9)</f>
        <v>0</v>
      </c>
      <c r="N89" s="1">
        <f>SUM(OSRRefE21_17x_0)</f>
        <v>200</v>
      </c>
      <c r="O89" s="1">
        <f>SUM(OSRRefE21_17x_1)</f>
        <v>200</v>
      </c>
      <c r="Q89" s="2">
        <f>SUM(OSRRefD20_17x)+IFERROR(SUM(OSRRefE20_17x),0)</f>
        <v>1316.08</v>
      </c>
    </row>
    <row r="90" spans="1:17" s="34" customFormat="1" hidden="1" outlineLevel="1" x14ac:dyDescent="0.25">
      <c r="A90" s="35"/>
      <c r="B90" s="10" t="str">
        <f>CONCATENATE("          ","6275", " - ","SUBSCRIPTIONS")</f>
        <v xml:space="preserve">          6275 - SUBSCRIPTIONS</v>
      </c>
      <c r="C90" s="11"/>
      <c r="D90" s="2">
        <v>9.32</v>
      </c>
      <c r="E90" s="2"/>
      <c r="F90" s="2">
        <v>131.34</v>
      </c>
      <c r="G90" s="2">
        <v>130.66999999999999</v>
      </c>
      <c r="H90" s="2"/>
      <c r="I90" s="2">
        <v>262.83999999999997</v>
      </c>
      <c r="J90" s="2"/>
      <c r="K90" s="2">
        <v>262.83999999999997</v>
      </c>
      <c r="L90" s="2">
        <v>119.07</v>
      </c>
      <c r="M90" s="2"/>
      <c r="N90" s="2">
        <v>200</v>
      </c>
      <c r="O90" s="2">
        <v>200</v>
      </c>
      <c r="P90" s="9"/>
      <c r="Q90" s="2">
        <f>SUM(OSRRefD21_17_0x)+IFERROR(SUM(OSRRefE21_17_0x),0)</f>
        <v>1316.08</v>
      </c>
    </row>
    <row r="91" spans="1:17" s="34" customFormat="1" collapsed="1" x14ac:dyDescent="0.25">
      <c r="A91" s="35"/>
      <c r="B91" s="11" t="str">
        <f>CONCATENATE("     ","Supplies                                          ")</f>
        <v xml:space="preserve">     Supplies                                          </v>
      </c>
      <c r="C91" s="11"/>
      <c r="D91" s="1">
        <f>SUM(OSRRefD21_18x_0)</f>
        <v>486.14000000000004</v>
      </c>
      <c r="E91" s="1">
        <f>SUM(OSRRefD21_18x_1)</f>
        <v>-28658.84</v>
      </c>
      <c r="F91" s="1">
        <f>SUM(OSRRefD21_18x_2)</f>
        <v>137.26</v>
      </c>
      <c r="G91" s="1">
        <f>SUM(OSRRefD21_18x_3)</f>
        <v>6392.76</v>
      </c>
      <c r="H91" s="1">
        <f>SUM(OSRRefD21_18x_4)</f>
        <v>72</v>
      </c>
      <c r="I91" s="1">
        <f>SUM(OSRRefD21_18x_5)</f>
        <v>24.36</v>
      </c>
      <c r="J91" s="1">
        <f>SUM(OSRRefD21_18x_6)</f>
        <v>116.72999999999999</v>
      </c>
      <c r="K91" s="1">
        <f>SUM(OSRRefD21_18x_7)</f>
        <v>82.73</v>
      </c>
      <c r="L91" s="1">
        <f>SUM(OSRRefD21_18x_8)</f>
        <v>94.92</v>
      </c>
      <c r="M91" s="1">
        <f>SUM(OSRRefD21_18x_9)</f>
        <v>627.34</v>
      </c>
      <c r="N91" s="1">
        <f>SUM(OSRRefE21_18x_0)</f>
        <v>975</v>
      </c>
      <c r="O91" s="1">
        <f>SUM(OSRRefE21_18x_1)</f>
        <v>975</v>
      </c>
      <c r="Q91" s="2">
        <f>SUM(OSRRefD20_18x)+IFERROR(SUM(OSRRefE20_18x),0)</f>
        <v>-18674.600000000002</v>
      </c>
    </row>
    <row r="92" spans="1:17" s="34" customFormat="1" hidden="1" outlineLevel="1" x14ac:dyDescent="0.25">
      <c r="A92" s="35"/>
      <c r="B92" s="10" t="str">
        <f>CONCATENATE("          ","6234", " - ","EXPENDABLE SUPPLIES &amp; EQUIPMEN")</f>
        <v xml:space="preserve">          6234 - EXPENDABLE SUPPLIES &amp; EQUIPMEN</v>
      </c>
      <c r="C92" s="11"/>
      <c r="D92" s="2"/>
      <c r="E92" s="2">
        <v>255.78</v>
      </c>
      <c r="F92" s="2"/>
      <c r="G92" s="2">
        <v>55.13</v>
      </c>
      <c r="H92" s="2"/>
      <c r="I92" s="2"/>
      <c r="J92" s="2"/>
      <c r="K92" s="2"/>
      <c r="L92" s="2"/>
      <c r="M92" s="2">
        <v>26.25</v>
      </c>
      <c r="N92" s="2">
        <v>500</v>
      </c>
      <c r="O92" s="2">
        <v>500</v>
      </c>
      <c r="P92" s="9"/>
      <c r="Q92" s="2">
        <f>SUM(OSRRefD21_18_0x)+IFERROR(SUM(OSRRefE21_18_0x),0)</f>
        <v>1337.16</v>
      </c>
    </row>
    <row r="93" spans="1:17" s="34" customFormat="1" hidden="1" outlineLevel="1" x14ac:dyDescent="0.25">
      <c r="A93" s="35"/>
      <c r="B93" s="10" t="str">
        <f>CONCATENATE("          ","6235", " - ","COVID-19 EXPENSES")</f>
        <v xml:space="preserve">          6235 - COVID-19 EXPENSES</v>
      </c>
      <c r="C93" s="11"/>
      <c r="D93" s="2">
        <v>535.82000000000005</v>
      </c>
      <c r="E93" s="2">
        <v>286.14999999999998</v>
      </c>
      <c r="F93" s="2">
        <v>127.89</v>
      </c>
      <c r="G93" s="2">
        <v>5932</v>
      </c>
      <c r="H93" s="2"/>
      <c r="I93" s="2"/>
      <c r="J93" s="2"/>
      <c r="K93" s="2"/>
      <c r="L93" s="2"/>
      <c r="M93" s="2">
        <v>65.45</v>
      </c>
      <c r="N93" s="2">
        <v>0</v>
      </c>
      <c r="O93" s="2">
        <v>0</v>
      </c>
      <c r="P93" s="9"/>
      <c r="Q93" s="2">
        <f>SUM(OSRRefD21_18_1x)+IFERROR(SUM(OSRRefE21_18_1x),0)</f>
        <v>6947.3099999999995</v>
      </c>
    </row>
    <row r="94" spans="1:17" s="34" customFormat="1" hidden="1" outlineLevel="1" x14ac:dyDescent="0.25">
      <c r="A94" s="35"/>
      <c r="B94" s="10" t="str">
        <f>CONCATENATE("          ","6237", " - ","JANITORIAL SUPPLIES")</f>
        <v xml:space="preserve">          6237 - JANITORIAL SUPPLIES</v>
      </c>
      <c r="C94" s="11"/>
      <c r="D94" s="2"/>
      <c r="E94" s="2"/>
      <c r="F94" s="2"/>
      <c r="G94" s="2">
        <v>268.05</v>
      </c>
      <c r="H94" s="2">
        <v>72</v>
      </c>
      <c r="I94" s="2">
        <v>18.86</v>
      </c>
      <c r="J94" s="2"/>
      <c r="K94" s="2"/>
      <c r="L94" s="2"/>
      <c r="M94" s="2"/>
      <c r="N94" s="2">
        <v>200</v>
      </c>
      <c r="O94" s="2">
        <v>200</v>
      </c>
      <c r="P94" s="9"/>
      <c r="Q94" s="2">
        <f>SUM(OSRRefD21_18_2x)+IFERROR(SUM(OSRRefE21_18_2x),0)</f>
        <v>758.91000000000008</v>
      </c>
    </row>
    <row r="95" spans="1:17" s="34" customFormat="1" hidden="1" outlineLevel="1" x14ac:dyDescent="0.25">
      <c r="A95" s="35"/>
      <c r="B95" s="10" t="str">
        <f>CONCATENATE("          ","6239", " - ","KITCHEN SUPPLIES")</f>
        <v xml:space="preserve">          6239 - KITCHEN SUPPLIES</v>
      </c>
      <c r="C95" s="11"/>
      <c r="D95" s="2"/>
      <c r="E95" s="2"/>
      <c r="F95" s="2"/>
      <c r="G95" s="2">
        <v>19.829999999999998</v>
      </c>
      <c r="H95" s="2"/>
      <c r="I95" s="2"/>
      <c r="J95" s="2"/>
      <c r="K95" s="2"/>
      <c r="L95" s="2"/>
      <c r="M95" s="2"/>
      <c r="N95" s="2">
        <v>0</v>
      </c>
      <c r="O95" s="2">
        <v>0</v>
      </c>
      <c r="P95" s="9"/>
      <c r="Q95" s="2">
        <f>SUM(OSRRefD21_18_3x)+IFERROR(SUM(OSRRefE21_18_3x),0)</f>
        <v>19.829999999999998</v>
      </c>
    </row>
    <row r="96" spans="1:17" s="34" customFormat="1" hidden="1" outlineLevel="1" x14ac:dyDescent="0.25">
      <c r="A96" s="35"/>
      <c r="B96" s="10" t="str">
        <f>CONCATENATE("          ","6241", " - ","OFFICE EXPENSE")</f>
        <v xml:space="preserve">          6241 - OFFICE EXPENSE</v>
      </c>
      <c r="C96" s="11"/>
      <c r="D96" s="2">
        <v>-49.68</v>
      </c>
      <c r="E96" s="2">
        <v>-29200.77</v>
      </c>
      <c r="F96" s="2">
        <v>9.3699999999999992</v>
      </c>
      <c r="G96" s="2">
        <v>117.75</v>
      </c>
      <c r="H96" s="2"/>
      <c r="I96" s="2">
        <v>5.5</v>
      </c>
      <c r="J96" s="2">
        <v>51.24</v>
      </c>
      <c r="K96" s="2">
        <v>82.73</v>
      </c>
      <c r="L96" s="2"/>
      <c r="M96" s="2">
        <v>440.72</v>
      </c>
      <c r="N96" s="2">
        <v>25</v>
      </c>
      <c r="O96" s="2">
        <v>25</v>
      </c>
      <c r="P96" s="9"/>
      <c r="Q96" s="2">
        <f>SUM(OSRRefD21_18_4x)+IFERROR(SUM(OSRRefE21_18_4x),0)</f>
        <v>-28493.14</v>
      </c>
    </row>
    <row r="97" spans="1:17" s="34" customFormat="1" hidden="1" outlineLevel="1" x14ac:dyDescent="0.25">
      <c r="A97" s="35"/>
      <c r="B97" s="10" t="str">
        <f>CONCATENATE("          ","6243", " - ","PAPER SUPPLIES")</f>
        <v xml:space="preserve">          6243 - PAPER SUPPLIES</v>
      </c>
      <c r="C97" s="11"/>
      <c r="D97" s="2"/>
      <c r="E97" s="2"/>
      <c r="F97" s="2"/>
      <c r="G97" s="2"/>
      <c r="H97" s="2"/>
      <c r="I97" s="2"/>
      <c r="J97" s="2">
        <v>65.489999999999995</v>
      </c>
      <c r="K97" s="2"/>
      <c r="L97" s="2">
        <v>94.92</v>
      </c>
      <c r="M97" s="2">
        <v>94.92</v>
      </c>
      <c r="N97" s="2">
        <v>250</v>
      </c>
      <c r="O97" s="2">
        <v>250</v>
      </c>
      <c r="P97" s="9"/>
      <c r="Q97" s="2">
        <f>SUM(OSRRefD21_18_5x)+IFERROR(SUM(OSRRefE21_18_5x),0)</f>
        <v>755.32999999999993</v>
      </c>
    </row>
    <row r="98" spans="1:17" s="34" customFormat="1" hidden="1" outlineLevel="1" x14ac:dyDescent="0.25">
      <c r="A98" s="35"/>
      <c r="B98" s="10" t="str">
        <f>CONCATENATE("          ","6244", " - ","SAFETY SUPPLY EXPENSE")</f>
        <v xml:space="preserve">          6244 - SAFETY SUPPLY EXPENSE</v>
      </c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>
        <v>0</v>
      </c>
      <c r="O98" s="2">
        <v>0</v>
      </c>
      <c r="P98" s="9"/>
      <c r="Q98" s="2">
        <f>SUM(OSRRefD21_18_6x)+IFERROR(SUM(OSRRefE21_18_6x),0)</f>
        <v>0</v>
      </c>
    </row>
    <row r="99" spans="1:17" s="34" customFormat="1" hidden="1" outlineLevel="1" x14ac:dyDescent="0.25">
      <c r="A99" s="35"/>
      <c r="B99" s="10" t="str">
        <f>CONCATENATE("          ","6245", " - ","PRINTING")</f>
        <v xml:space="preserve">          6245 - PRINTING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>
        <v>0</v>
      </c>
      <c r="O99" s="2">
        <v>0</v>
      </c>
      <c r="P99" s="9"/>
      <c r="Q99" s="2">
        <f>SUM(OSRRefD21_18_7x)+IFERROR(SUM(OSRRefE21_18_7x),0)</f>
        <v>0</v>
      </c>
    </row>
    <row r="100" spans="1:17" s="34" customFormat="1" hidden="1" outlineLevel="1" x14ac:dyDescent="0.25">
      <c r="A100" s="35"/>
      <c r="B100" s="10" t="str">
        <f>CONCATENATE("          ","6246", " - ","REPLACEMENTS")</f>
        <v xml:space="preserve">          6246 - REPLACEMENTS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>
        <v>0</v>
      </c>
      <c r="O100" s="2">
        <v>0</v>
      </c>
      <c r="P100" s="9"/>
      <c r="Q100" s="2">
        <f>SUM(OSRRefD21_18_8x)+IFERROR(SUM(OSRRefE21_18_8x),0)</f>
        <v>0</v>
      </c>
    </row>
    <row r="101" spans="1:17" s="34" customFormat="1" hidden="1" outlineLevel="1" x14ac:dyDescent="0.25">
      <c r="A101" s="35"/>
      <c r="B101" s="10" t="str">
        <f>CONCATENATE("          ","6247", " - ","STORE SUPPLIES")</f>
        <v xml:space="preserve">          6247 - STORE SUPPLIES</v>
      </c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>
        <v>0</v>
      </c>
      <c r="O101" s="2">
        <v>0</v>
      </c>
      <c r="P101" s="9"/>
      <c r="Q101" s="2">
        <f>SUM(OSRRefD21_18_9x)+IFERROR(SUM(OSRRefE21_18_9x),0)</f>
        <v>0</v>
      </c>
    </row>
    <row r="102" spans="1:17" s="34" customFormat="1" collapsed="1" x14ac:dyDescent="0.25">
      <c r="A102" s="35"/>
      <c r="B102" s="11" t="str">
        <f>CONCATENATE("     ","Telephone/Data Lines                              ")</f>
        <v xml:space="preserve">     Telephone/Data Lines                              </v>
      </c>
      <c r="C102" s="11"/>
      <c r="D102" s="1">
        <f>SUM(OSRRefD21_19x_0)</f>
        <v>1203.82</v>
      </c>
      <c r="E102" s="1">
        <f>SUM(OSRRefD21_19x_1)</f>
        <v>1228.96</v>
      </c>
      <c r="F102" s="1">
        <f>SUM(OSRRefD21_19x_2)</f>
        <v>638.63</v>
      </c>
      <c r="G102" s="1">
        <f>SUM(OSRRefD21_19x_3)</f>
        <v>364.66</v>
      </c>
      <c r="H102" s="1">
        <f>SUM(OSRRefD21_19x_4)</f>
        <v>622.1</v>
      </c>
      <c r="I102" s="1">
        <f>SUM(OSRRefD21_19x_5)</f>
        <v>593.1</v>
      </c>
      <c r="J102" s="1">
        <f>SUM(OSRRefD21_19x_6)</f>
        <v>248</v>
      </c>
      <c r="K102" s="1">
        <f>SUM(OSRRefD21_19x_7)</f>
        <v>298.14</v>
      </c>
      <c r="L102" s="1">
        <f>SUM(OSRRefD21_19x_8)</f>
        <v>400</v>
      </c>
      <c r="M102" s="1">
        <f>SUM(OSRRefD21_19x_9)</f>
        <v>248.6</v>
      </c>
      <c r="N102" s="1">
        <f>SUM(OSRRefE21_19x_0)</f>
        <v>235</v>
      </c>
      <c r="O102" s="1">
        <f>SUM(OSRRefE21_19x_1)</f>
        <v>385</v>
      </c>
      <c r="Q102" s="2">
        <f>SUM(OSRRefD20_19x)+IFERROR(SUM(OSRRefE20_19x),0)</f>
        <v>6466.01</v>
      </c>
    </row>
    <row r="103" spans="1:17" s="34" customFormat="1" hidden="1" outlineLevel="1" x14ac:dyDescent="0.25">
      <c r="A103" s="35"/>
      <c r="B103" s="10" t="str">
        <f>CONCATENATE("          ","6303", " - ","DATA PHONE LINES")</f>
        <v xml:space="preserve">          6303 - DATA PHONE LINES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>
        <v>135</v>
      </c>
      <c r="O103" s="2">
        <v>135</v>
      </c>
      <c r="P103" s="9"/>
      <c r="Q103" s="2">
        <f>SUM(OSRRefD21_19_0x)+IFERROR(SUM(OSRRefE21_19_0x),0)</f>
        <v>270</v>
      </c>
    </row>
    <row r="104" spans="1:17" s="34" customFormat="1" hidden="1" outlineLevel="1" x14ac:dyDescent="0.25">
      <c r="A104" s="35"/>
      <c r="B104" s="10" t="str">
        <f>CONCATENATE("          ","6309", " - ","TELEPHONE")</f>
        <v xml:space="preserve">          6309 - TELEPHONE</v>
      </c>
      <c r="C104" s="11"/>
      <c r="D104" s="2">
        <v>1203.82</v>
      </c>
      <c r="E104" s="2">
        <v>1228.96</v>
      </c>
      <c r="F104" s="2">
        <v>638.63</v>
      </c>
      <c r="G104" s="2">
        <v>364.66</v>
      </c>
      <c r="H104" s="2">
        <v>622.1</v>
      </c>
      <c r="I104" s="2">
        <v>593.1</v>
      </c>
      <c r="J104" s="2">
        <v>248</v>
      </c>
      <c r="K104" s="2">
        <v>298.14</v>
      </c>
      <c r="L104" s="2">
        <v>400</v>
      </c>
      <c r="M104" s="2">
        <v>248.6</v>
      </c>
      <c r="N104" s="2">
        <v>100</v>
      </c>
      <c r="O104" s="2">
        <v>250</v>
      </c>
      <c r="P104" s="9"/>
      <c r="Q104" s="2">
        <f>SUM(OSRRefD21_19_1x)+IFERROR(SUM(OSRRefE21_19_1x),0)</f>
        <v>6196.01</v>
      </c>
    </row>
    <row r="105" spans="1:17" s="34" customFormat="1" collapsed="1" x14ac:dyDescent="0.25">
      <c r="A105" s="35"/>
      <c r="B105" s="11" t="str">
        <f>CONCATENATE("     ","Training                                          ")</f>
        <v xml:space="preserve">     Training                                          </v>
      </c>
      <c r="C105" s="11"/>
      <c r="D105" s="1">
        <f>SUM(OSRRefD21_20x_0)</f>
        <v>0</v>
      </c>
      <c r="E105" s="1">
        <f>SUM(OSRRefD21_20x_1)</f>
        <v>0</v>
      </c>
      <c r="F105" s="1">
        <f>SUM(OSRRefD21_20x_2)</f>
        <v>0</v>
      </c>
      <c r="G105" s="1">
        <f>SUM(OSRRefD21_20x_3)</f>
        <v>0</v>
      </c>
      <c r="H105" s="1">
        <f>SUM(OSRRefD21_20x_4)</f>
        <v>400</v>
      </c>
      <c r="I105" s="1">
        <f>SUM(OSRRefD21_20x_5)</f>
        <v>0</v>
      </c>
      <c r="J105" s="1">
        <f>SUM(OSRRefD21_20x_6)</f>
        <v>0</v>
      </c>
      <c r="K105" s="1">
        <f>SUM(OSRRefD21_20x_7)</f>
        <v>0</v>
      </c>
      <c r="L105" s="1">
        <f>SUM(OSRRefD21_20x_8)</f>
        <v>0</v>
      </c>
      <c r="M105" s="1">
        <f>SUM(OSRRefD21_20x_9)</f>
        <v>0</v>
      </c>
      <c r="N105" s="1">
        <f>SUM(OSRRefE21_20x_0)</f>
        <v>0</v>
      </c>
      <c r="O105" s="1">
        <f>SUM(OSRRefE21_20x_1)</f>
        <v>0</v>
      </c>
      <c r="Q105" s="2">
        <f>SUM(OSRRefD20_20x)+IFERROR(SUM(OSRRefE20_20x),0)</f>
        <v>400</v>
      </c>
    </row>
    <row r="106" spans="1:17" s="34" customFormat="1" hidden="1" outlineLevel="1" x14ac:dyDescent="0.25">
      <c r="A106" s="35"/>
      <c r="B106" s="10" t="str">
        <f>CONCATENATE("          ","6376", " - ","TRAINING")</f>
        <v xml:space="preserve">          6376 - TRAINING</v>
      </c>
      <c r="C106" s="11"/>
      <c r="D106" s="2"/>
      <c r="E106" s="2"/>
      <c r="F106" s="2"/>
      <c r="G106" s="2"/>
      <c r="H106" s="2">
        <v>400</v>
      </c>
      <c r="I106" s="2"/>
      <c r="J106" s="2"/>
      <c r="K106" s="2"/>
      <c r="L106" s="2"/>
      <c r="M106" s="2"/>
      <c r="N106" s="2">
        <v>0</v>
      </c>
      <c r="O106" s="2">
        <v>0</v>
      </c>
      <c r="P106" s="9"/>
      <c r="Q106" s="2">
        <f>SUM(OSRRefD21_20_0x)+IFERROR(SUM(OSRRefE21_20_0x),0)</f>
        <v>400</v>
      </c>
    </row>
    <row r="107" spans="1:17" s="34" customFormat="1" collapsed="1" x14ac:dyDescent="0.25">
      <c r="A107" s="35"/>
      <c r="B107" s="11" t="str">
        <f>CONCATENATE("     ","Travel                                            ")</f>
        <v xml:space="preserve">     Travel                                            </v>
      </c>
      <c r="C107" s="11"/>
      <c r="D107" s="1">
        <f>SUM(OSRRefD21_21x_0)</f>
        <v>179.69</v>
      </c>
      <c r="E107" s="1">
        <f>SUM(OSRRefD21_21x_1)</f>
        <v>0</v>
      </c>
      <c r="F107" s="1">
        <f>SUM(OSRRefD21_21x_2)</f>
        <v>152.52000000000001</v>
      </c>
      <c r="G107" s="1">
        <f>SUM(OSRRefD21_21x_3)</f>
        <v>0</v>
      </c>
      <c r="H107" s="1">
        <f>SUM(OSRRefD21_21x_4)</f>
        <v>0</v>
      </c>
      <c r="I107" s="1">
        <f>SUM(OSRRefD21_21x_5)</f>
        <v>0</v>
      </c>
      <c r="J107" s="1">
        <f>SUM(OSRRefD21_21x_6)</f>
        <v>0</v>
      </c>
      <c r="K107" s="1">
        <f>SUM(OSRRefD21_21x_7)</f>
        <v>0</v>
      </c>
      <c r="L107" s="1">
        <f>SUM(OSRRefD21_21x_8)</f>
        <v>0</v>
      </c>
      <c r="M107" s="1">
        <f>SUM(OSRRefD21_21x_9)</f>
        <v>0</v>
      </c>
      <c r="N107" s="1">
        <f>SUM(OSRRefE21_21x_0)</f>
        <v>0</v>
      </c>
      <c r="O107" s="1">
        <f>SUM(OSRRefE21_21x_1)</f>
        <v>0</v>
      </c>
      <c r="Q107" s="2">
        <f>SUM(OSRRefD20_21x)+IFERROR(SUM(OSRRefE20_21x),0)</f>
        <v>332.21000000000004</v>
      </c>
    </row>
    <row r="108" spans="1:17" s="34" customFormat="1" hidden="1" outlineLevel="1" x14ac:dyDescent="0.25">
      <c r="A108" s="35"/>
      <c r="B108" s="10" t="str">
        <f>CONCATENATE("          ","6298", " - ","VEHICLE MILEAGE")</f>
        <v xml:space="preserve">          6298 - VEHICLE MILEAGE</v>
      </c>
      <c r="C108" s="11"/>
      <c r="D108" s="2">
        <v>179.69</v>
      </c>
      <c r="E108" s="2"/>
      <c r="F108" s="2">
        <v>152.52000000000001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SUM(OSRRefD21_21_0x)+IFERROR(SUM(OSRRefE21_21_0x),0)</f>
        <v>332.21000000000004</v>
      </c>
    </row>
    <row r="109" spans="1:17" s="34" customFormat="1" collapsed="1" x14ac:dyDescent="0.25">
      <c r="A109" s="35"/>
      <c r="B109" s="11" t="str">
        <f>CONCATENATE("     ","Utilities                                         ")</f>
        <v xml:space="preserve">     Utilities                                         </v>
      </c>
      <c r="C109" s="11"/>
      <c r="D109" s="1">
        <f>SUM(OSRRefD21_22x_0)</f>
        <v>2300</v>
      </c>
      <c r="E109" s="1">
        <f>SUM(OSRRefD21_22x_1)</f>
        <v>2300</v>
      </c>
      <c r="F109" s="1">
        <f>SUM(OSRRefD21_22x_2)</f>
        <v>2300</v>
      </c>
      <c r="G109" s="1">
        <f>SUM(OSRRefD21_22x_3)</f>
        <v>-13228</v>
      </c>
      <c r="H109" s="1">
        <f>SUM(OSRRefD21_22x_4)</f>
        <v>3660</v>
      </c>
      <c r="I109" s="1">
        <f>SUM(OSRRefD21_22x_5)</f>
        <v>3660</v>
      </c>
      <c r="J109" s="1">
        <f>SUM(OSRRefD21_22x_6)</f>
        <v>3660</v>
      </c>
      <c r="K109" s="1">
        <f>SUM(OSRRefD21_22x_7)</f>
        <v>3660</v>
      </c>
      <c r="L109" s="1">
        <f>SUM(OSRRefD21_22x_8)</f>
        <v>-9772</v>
      </c>
      <c r="M109" s="1">
        <f>SUM(OSRRefD21_22x_9)</f>
        <v>3648</v>
      </c>
      <c r="N109" s="1">
        <f>SUM(OSRRefE21_22x_0)</f>
        <v>3300</v>
      </c>
      <c r="O109" s="1">
        <f>SUM(OSRRefE21_22x_1)</f>
        <v>3300</v>
      </c>
      <c r="Q109" s="2">
        <f>SUM(OSRRefD20_22x)+IFERROR(SUM(OSRRefE20_22x),0)</f>
        <v>8788</v>
      </c>
    </row>
    <row r="110" spans="1:17" s="34" customFormat="1" hidden="1" outlineLevel="1" x14ac:dyDescent="0.25">
      <c r="A110" s="35"/>
      <c r="B110" s="10" t="str">
        <f>CONCATENATE("          ","6274", " - ","UTILITIES")</f>
        <v xml:space="preserve">          6274 - UTILITIES</v>
      </c>
      <c r="C110" s="11"/>
      <c r="D110" s="2">
        <v>2300</v>
      </c>
      <c r="E110" s="2">
        <v>2300</v>
      </c>
      <c r="F110" s="2">
        <v>2300</v>
      </c>
      <c r="G110" s="2">
        <v>-13228</v>
      </c>
      <c r="H110" s="2">
        <v>3660</v>
      </c>
      <c r="I110" s="2">
        <v>3660</v>
      </c>
      <c r="J110" s="2">
        <v>3660</v>
      </c>
      <c r="K110" s="2">
        <v>3660</v>
      </c>
      <c r="L110" s="2">
        <v>-9772</v>
      </c>
      <c r="M110" s="2">
        <v>3648</v>
      </c>
      <c r="N110" s="2">
        <v>3300</v>
      </c>
      <c r="O110" s="2">
        <v>3300</v>
      </c>
      <c r="P110" s="9"/>
      <c r="Q110" s="2">
        <f>SUM(OSRRefD21_22_0x)+IFERROR(SUM(OSRRefE21_22_0x),0)</f>
        <v>8788</v>
      </c>
    </row>
    <row r="111" spans="1:17" s="30" customFormat="1" x14ac:dyDescent="0.2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3"/>
      <c r="B112" s="16" t="s">
        <v>291</v>
      </c>
      <c r="C112" s="22"/>
      <c r="D112" s="3">
        <f>--2076.54</f>
        <v>2076.54</v>
      </c>
      <c r="E112" s="3">
        <f>--737.85</f>
        <v>737.85</v>
      </c>
      <c r="F112" s="3">
        <f>--805.53</f>
        <v>805.53</v>
      </c>
      <c r="G112" s="3">
        <f>--457.28</f>
        <v>457.28</v>
      </c>
      <c r="H112" s="3">
        <f>--173.47</f>
        <v>173.47</v>
      </c>
      <c r="I112" s="3">
        <f>--11120.8</f>
        <v>11120.8</v>
      </c>
      <c r="J112" s="3">
        <f>--976.87</f>
        <v>976.87</v>
      </c>
      <c r="K112" s="3">
        <f>--1400.88</f>
        <v>1400.88</v>
      </c>
      <c r="L112" s="3">
        <f>--3116.44</f>
        <v>3116.44</v>
      </c>
      <c r="M112" s="3">
        <f>--1579.74</f>
        <v>1579.74</v>
      </c>
      <c r="N112" s="3">
        <v>0</v>
      </c>
      <c r="O112" s="3">
        <v>12000</v>
      </c>
      <c r="Q112" s="2">
        <f>SUM(OSRRefD23_0x)+IFERROR(SUM(OSRRefE23_0x),0)</f>
        <v>34445.4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25">
      <c r="A114" s="6"/>
      <c r="B114" s="17" t="s">
        <v>274</v>
      </c>
      <c r="C114" s="17"/>
      <c r="D114" s="8">
        <f t="shared" ref="D114:O114" si="10">IFERROR(+D24-D27+D112, 0)</f>
        <v>-124073.70000000003</v>
      </c>
      <c r="E114" s="8">
        <f t="shared" si="10"/>
        <v>-83625.709999999992</v>
      </c>
      <c r="F114" s="8">
        <f t="shared" si="10"/>
        <v>-110107.33000000002</v>
      </c>
      <c r="G114" s="8">
        <f t="shared" si="10"/>
        <v>-79392.160000000003</v>
      </c>
      <c r="H114" s="8">
        <f t="shared" si="10"/>
        <v>-50395.870000000017</v>
      </c>
      <c r="I114" s="8">
        <f t="shared" si="10"/>
        <v>-36515.710000000006</v>
      </c>
      <c r="J114" s="8">
        <f t="shared" si="10"/>
        <v>-30180.219999999983</v>
      </c>
      <c r="K114" s="8">
        <f t="shared" si="10"/>
        <v>-51668.67000000002</v>
      </c>
      <c r="L114" s="8">
        <f t="shared" si="10"/>
        <v>-31671.060000000045</v>
      </c>
      <c r="M114" s="8">
        <f t="shared" si="10"/>
        <v>-50865.850000000028</v>
      </c>
      <c r="N114" s="8">
        <f t="shared" si="10"/>
        <v>-97876.139089400007</v>
      </c>
      <c r="O114" s="8">
        <f t="shared" si="10"/>
        <v>-85619.100266169233</v>
      </c>
      <c r="Q114" s="8">
        <f>IFERROR(+Q24-Q27+Q112, 0)</f>
        <v>-831991.51935556892</v>
      </c>
    </row>
    <row r="115" spans="1:17" s="6" customFormat="1" x14ac:dyDescent="0.25">
      <c r="B115" s="16"/>
      <c r="C115" s="16"/>
      <c r="D115" s="4">
        <f t="shared" ref="D115:O115" si="11">IFERROR(D114/D10, 0)</f>
        <v>-127.26682462996587</v>
      </c>
      <c r="E115" s="4">
        <f t="shared" si="11"/>
        <v>-17.721291222181254</v>
      </c>
      <c r="F115" s="4">
        <f t="shared" si="11"/>
        <v>-12.688611548057368</v>
      </c>
      <c r="G115" s="4">
        <f t="shared" si="11"/>
        <v>-1.8242306569946853</v>
      </c>
      <c r="H115" s="4">
        <f t="shared" si="11"/>
        <v>-0.78557476128027415</v>
      </c>
      <c r="I115" s="4">
        <f t="shared" si="11"/>
        <v>-0.5059679221327531</v>
      </c>
      <c r="J115" s="4">
        <f t="shared" si="11"/>
        <v>-0.36772203828131506</v>
      </c>
      <c r="K115" s="4">
        <f t="shared" si="11"/>
        <v>-1.0337672653280905</v>
      </c>
      <c r="L115" s="4">
        <f t="shared" si="11"/>
        <v>-0.55306630688582137</v>
      </c>
      <c r="M115" s="4">
        <f t="shared" si="11"/>
        <v>-0.69595912620244749</v>
      </c>
      <c r="N115" s="4">
        <f t="shared" si="11"/>
        <v>-18.467196054603775</v>
      </c>
      <c r="O115" s="4">
        <f t="shared" si="11"/>
        <v>-15.567109139303497</v>
      </c>
      <c r="P115" s="18"/>
      <c r="Q115" s="4">
        <f>IFERROR(Q114/Q10, 0)</f>
        <v>-1.7799644165131996</v>
      </c>
    </row>
    <row r="116" spans="1:17" x14ac:dyDescent="0.2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25">
      <c r="A117" s="25"/>
      <c r="B117" s="6" t="s">
        <v>125</v>
      </c>
      <c r="C117" s="6"/>
      <c r="D117" s="3">
        <v>468.88</v>
      </c>
      <c r="E117" s="3">
        <v>492.45</v>
      </c>
      <c r="F117" s="3">
        <v>1701.07</v>
      </c>
      <c r="G117" s="3">
        <v>9878.35</v>
      </c>
      <c r="H117" s="3">
        <v>6852.04</v>
      </c>
      <c r="I117" s="3">
        <v>16540.91</v>
      </c>
      <c r="J117" s="3">
        <v>14219.8</v>
      </c>
      <c r="K117" s="3">
        <v>14459.32</v>
      </c>
      <c r="L117" s="3">
        <v>14430.06</v>
      </c>
      <c r="M117" s="3">
        <v>16483.939999999999</v>
      </c>
      <c r="N117" s="3">
        <v>2540</v>
      </c>
      <c r="O117" s="3">
        <v>2570</v>
      </c>
      <c r="Q117" s="2">
        <f>SUM(OSRRefD28_0x)+IFERROR(SUM(OSRRefE28_0x),0)</f>
        <v>100636.82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.75" thickBot="1" x14ac:dyDescent="0.3">
      <c r="A119" s="6"/>
      <c r="B119" s="17" t="s">
        <v>124</v>
      </c>
      <c r="C119" s="17"/>
      <c r="D119" s="7">
        <f t="shared" ref="D119:O119" si="12">IFERROR(+D114-D117, 0)</f>
        <v>-124542.58000000003</v>
      </c>
      <c r="E119" s="7">
        <f t="shared" si="12"/>
        <v>-84118.159999999989</v>
      </c>
      <c r="F119" s="7">
        <f t="shared" si="12"/>
        <v>-111808.40000000002</v>
      </c>
      <c r="G119" s="7">
        <f t="shared" si="12"/>
        <v>-89270.510000000009</v>
      </c>
      <c r="H119" s="7">
        <f t="shared" si="12"/>
        <v>-57247.910000000018</v>
      </c>
      <c r="I119" s="7">
        <f t="shared" si="12"/>
        <v>-53056.62000000001</v>
      </c>
      <c r="J119" s="7">
        <f t="shared" si="12"/>
        <v>-44400.019999999982</v>
      </c>
      <c r="K119" s="7">
        <f t="shared" si="12"/>
        <v>-66127.99000000002</v>
      </c>
      <c r="L119" s="7">
        <f t="shared" si="12"/>
        <v>-46101.120000000046</v>
      </c>
      <c r="M119" s="7">
        <f t="shared" si="12"/>
        <v>-67349.790000000023</v>
      </c>
      <c r="N119" s="7">
        <f t="shared" si="12"/>
        <v>-100416.13908940001</v>
      </c>
      <c r="O119" s="7">
        <f t="shared" si="12"/>
        <v>-88189.100266169233</v>
      </c>
      <c r="Q119" s="7">
        <f>IFERROR(+Q114-Q117, 0)</f>
        <v>-932628.33935556887</v>
      </c>
    </row>
    <row r="120" spans="1:17" ht="15.75" thickTop="1" x14ac:dyDescent="0.25">
      <c r="A120" s="5"/>
      <c r="B120" s="5"/>
      <c r="C120" s="5"/>
      <c r="D120" s="4">
        <f t="shared" ref="D120:O120" si="13">IFERROR(D119/D10, 0)</f>
        <v>-127.74777158917237</v>
      </c>
      <c r="E120" s="4">
        <f t="shared" si="13"/>
        <v>-17.825647285195402</v>
      </c>
      <c r="F120" s="4">
        <f t="shared" si="13"/>
        <v>-12.884640426843676</v>
      </c>
      <c r="G120" s="4">
        <f t="shared" si="13"/>
        <v>-2.0512101082468424</v>
      </c>
      <c r="H120" s="4">
        <f t="shared" si="13"/>
        <v>-0.89238489646164687</v>
      </c>
      <c r="I120" s="4">
        <f t="shared" si="13"/>
        <v>-0.73516159967277284</v>
      </c>
      <c r="J120" s="4">
        <f t="shared" si="13"/>
        <v>-0.54097902050187696</v>
      </c>
      <c r="K120" s="4">
        <f t="shared" si="13"/>
        <v>-1.3230638873410774</v>
      </c>
      <c r="L120" s="4">
        <f t="shared" si="13"/>
        <v>-0.80505597797168971</v>
      </c>
      <c r="M120" s="4">
        <f t="shared" si="13"/>
        <v>-0.92149646567035304</v>
      </c>
      <c r="N120" s="4">
        <f t="shared" si="13"/>
        <v>-18.946441337622641</v>
      </c>
      <c r="O120" s="4">
        <f t="shared" si="13"/>
        <v>-16.034381866576226</v>
      </c>
      <c r="P120" s="18"/>
      <c r="Q120" s="4">
        <f>IFERROR(Q119/Q10, 0)</f>
        <v>-1.9952670421094212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292</v>
      </c>
      <c r="C123" s="17"/>
      <c r="D123" s="7">
        <f t="shared" ref="D123:O123" si="14">IFERROR(SUM(D119:D122), 0)</f>
        <v>-124670.3277715892</v>
      </c>
      <c r="E123" s="7">
        <f t="shared" si="14"/>
        <v>-84135.985647285182</v>
      </c>
      <c r="F123" s="7">
        <f t="shared" si="14"/>
        <v>-111821.28464042686</v>
      </c>
      <c r="G123" s="7">
        <f t="shared" si="14"/>
        <v>-89272.561210108252</v>
      </c>
      <c r="H123" s="7">
        <f t="shared" si="14"/>
        <v>-57248.80238489648</v>
      </c>
      <c r="I123" s="7">
        <f t="shared" si="14"/>
        <v>-53057.355161599684</v>
      </c>
      <c r="J123" s="7">
        <f t="shared" si="14"/>
        <v>-44400.560979020484</v>
      </c>
      <c r="K123" s="7">
        <f t="shared" si="14"/>
        <v>-66129.313063887355</v>
      </c>
      <c r="L123" s="7">
        <f t="shared" si="14"/>
        <v>-46101.925055978019</v>
      </c>
      <c r="M123" s="7">
        <f t="shared" si="14"/>
        <v>-67350.711496465694</v>
      </c>
      <c r="N123" s="7">
        <f t="shared" si="14"/>
        <v>-100435.08553073763</v>
      </c>
      <c r="O123" s="7">
        <f t="shared" si="14"/>
        <v>-88205.134648035804</v>
      </c>
      <c r="Q123" s="7">
        <f>IFERROR(SUM(Q119:Q122), 0)</f>
        <v>-932630.33462261094</v>
      </c>
    </row>
    <row r="124" spans="1:17" ht="15.75" thickTop="1" x14ac:dyDescent="0.25">
      <c r="A124" s="5"/>
      <c r="C124" s="5"/>
      <c r="D124" s="4">
        <f t="shared" ref="D124:O124" si="15">IFERROR(D123/D10, 0)</f>
        <v>-127.87880704022854</v>
      </c>
      <c r="E124" s="4">
        <f t="shared" si="15"/>
        <v>-17.82942475371274</v>
      </c>
      <c r="F124" s="4">
        <f t="shared" si="15"/>
        <v>-12.886125234415639</v>
      </c>
      <c r="G124" s="4">
        <f t="shared" si="15"/>
        <v>-2.0512572398573616</v>
      </c>
      <c r="H124" s="4">
        <f t="shared" si="15"/>
        <v>-0.89239880702717556</v>
      </c>
      <c r="I124" s="4">
        <f t="shared" si="15"/>
        <v>-0.73517178619761436</v>
      </c>
      <c r="J124" s="4">
        <f t="shared" si="15"/>
        <v>-0.54098561190207506</v>
      </c>
      <c r="K124" s="4">
        <f t="shared" si="15"/>
        <v>-1.3230903587044136</v>
      </c>
      <c r="L124" s="4">
        <f t="shared" si="15"/>
        <v>-0.80507003652661568</v>
      </c>
      <c r="M124" s="4">
        <f t="shared" si="15"/>
        <v>-0.92150907381265379</v>
      </c>
      <c r="N124" s="4">
        <f t="shared" si="15"/>
        <v>-18.950016137875025</v>
      </c>
      <c r="O124" s="4">
        <f t="shared" si="15"/>
        <v>-16.037297208733783</v>
      </c>
      <c r="P124" s="18"/>
      <c r="Q124" s="4">
        <f>IFERROR(Q123/Q10, 0)</f>
        <v>-1.9952713107879518</v>
      </c>
    </row>
    <row r="125" spans="1:17" x14ac:dyDescent="0.25">
      <c r="A125" s="5"/>
      <c r="B125" s="27">
        <v>44330.012710451389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Q125" s="13"/>
    </row>
    <row r="126" spans="1:17" x14ac:dyDescent="0.25">
      <c r="A126" s="5"/>
      <c r="B126" s="31" t="s">
        <v>54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25">
      <c r="A127" s="5"/>
      <c r="B127" s="26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25"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","405", " - ", "Library Starbucks")</f>
        <v>Department 405 - Library Starbucks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-2369.5500000000002</v>
      </c>
      <c r="L14" s="3">
        <f>SUM(OSRRefD14x_8)</f>
        <v>0</v>
      </c>
      <c r="M14" s="3">
        <f>SUM(OSRRefD14x_9)</f>
        <v>0</v>
      </c>
      <c r="N14" s="3">
        <f>SUM(OSRRefE14x_0)</f>
        <v>0</v>
      </c>
      <c r="O14" s="3">
        <f>SUM(OSRRefE14x_1)</f>
        <v>0</v>
      </c>
      <c r="Q14" s="3">
        <f>SUM(OSRRefG14x)</f>
        <v>-2369.5500000000002</v>
      </c>
    </row>
    <row r="15" spans="1:18" s="9" customFormat="1" hidden="1" outlineLevel="1" x14ac:dyDescent="0.25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0</v>
      </c>
      <c r="O15" s="2">
        <v>0</v>
      </c>
      <c r="Q15" s="2">
        <f>SUM(OSRRefD14_0x)+IFERROR(SUM(OSRRefE14_0x),0)</f>
        <v>0</v>
      </c>
    </row>
    <row r="16" spans="1:18" s="9" customFormat="1" hidden="1" outlineLevel="1" x14ac:dyDescent="0.25">
      <c r="A16" s="23"/>
      <c r="B16" s="10" t="str">
        <f>CONCATENATE("          ","5053", " - ","PURCHASES @ COST-FOOD")</f>
        <v xml:space="preserve">          5053 - PURCHASES @ COST-FOOD</v>
      </c>
      <c r="C16" s="22"/>
      <c r="D16" s="2"/>
      <c r="E16" s="2"/>
      <c r="F16" s="2"/>
      <c r="G16" s="2"/>
      <c r="H16" s="2"/>
      <c r="I16" s="2"/>
      <c r="J16" s="2"/>
      <c r="K16" s="2">
        <v>-2369.5500000000002</v>
      </c>
      <c r="L16" s="2"/>
      <c r="M16" s="2"/>
      <c r="N16" s="2"/>
      <c r="O16" s="2"/>
      <c r="Q16" s="2">
        <f>SUM(OSRRefD14_1x)+IFERROR(SUM(OSRRefE14_1x),0)</f>
        <v>-2369.5500000000002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0</v>
      </c>
      <c r="I18" s="8">
        <f t="shared" si="1"/>
        <v>0</v>
      </c>
      <c r="J18" s="8">
        <f t="shared" si="1"/>
        <v>0</v>
      </c>
      <c r="K18" s="8">
        <f t="shared" si="1"/>
        <v>2369.5500000000002</v>
      </c>
      <c r="L18" s="8">
        <f t="shared" si="1"/>
        <v>0</v>
      </c>
      <c r="M18" s="8">
        <f t="shared" si="1"/>
        <v>0</v>
      </c>
      <c r="N18" s="8">
        <f t="shared" si="1"/>
        <v>0</v>
      </c>
      <c r="O18" s="8">
        <f t="shared" si="1"/>
        <v>0</v>
      </c>
      <c r="Q18" s="8">
        <f>IFERROR(+Q10-Q14, 0)</f>
        <v>2369.5500000000002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4">
        <f>SUM(OSRRefD20x_0)</f>
        <v>6467.6</v>
      </c>
      <c r="E21" s="14">
        <f>SUM(OSRRefD20x_1)</f>
        <v>4682.1000000000004</v>
      </c>
      <c r="F21" s="14">
        <f>SUM(OSRRefD20x_2)</f>
        <v>11248.7</v>
      </c>
      <c r="G21" s="14">
        <f>SUM(OSRRefD20x_3)</f>
        <v>5704.4400000000005</v>
      </c>
      <c r="H21" s="14">
        <f>SUM(OSRRefD20x_4)</f>
        <v>5768.84</v>
      </c>
      <c r="I21" s="14">
        <f>SUM(OSRRefD20x_5)</f>
        <v>11318.36</v>
      </c>
      <c r="J21" s="14">
        <f>SUM(OSRRefD20x_6)</f>
        <v>5696.01</v>
      </c>
      <c r="K21" s="14">
        <f>SUM(OSRRefD20x_7)</f>
        <v>5696.01</v>
      </c>
      <c r="L21" s="14">
        <f>SUM(OSRRefD20x_8)</f>
        <v>10256.36</v>
      </c>
      <c r="M21" s="14">
        <f>SUM(OSRRefD20x_9)</f>
        <v>7546.01</v>
      </c>
      <c r="N21" s="14">
        <f>SUM(OSRRefE20x_0)</f>
        <v>7176</v>
      </c>
      <c r="O21" s="14">
        <f>SUM(OSRRefE20x_1)</f>
        <v>7176</v>
      </c>
      <c r="Q21" s="14">
        <f>SUM(OSRRefG20x)</f>
        <v>88736.430000000008</v>
      </c>
    </row>
    <row r="22" spans="1:17" s="34" customFormat="1" collapsed="1" x14ac:dyDescent="0.25">
      <c r="A22" s="35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0.83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SUM(OSRRefE21_0x_0)</f>
        <v>0</v>
      </c>
      <c r="O22" s="1">
        <f>SUM(OSRRefE21_0x_1)</f>
        <v>0</v>
      </c>
      <c r="Q22" s="2">
        <f>SUM(OSRRefD20_0x)+IFERROR(SUM(OSRRefE20_0x),0)</f>
        <v>0.83</v>
      </c>
    </row>
    <row r="23" spans="1:17" s="34" customFormat="1" hidden="1" outlineLevel="1" x14ac:dyDescent="0.25">
      <c r="A23" s="35"/>
      <c r="B23" s="10" t="str">
        <f>CONCATENATE("          ","6111", " - ","F.I.C.A.")</f>
        <v xml:space="preserve">          6111 - F.I.C.A.</v>
      </c>
      <c r="C23" s="11"/>
      <c r="D23" s="2"/>
      <c r="E23" s="2"/>
      <c r="F23" s="2"/>
      <c r="G23" s="2"/>
      <c r="H23" s="2">
        <v>0.83</v>
      </c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SUM(OSRRefD21_0_0x)+IFERROR(SUM(OSRRefE21_0_0x),0)</f>
        <v>0.83</v>
      </c>
    </row>
    <row r="24" spans="1:17" s="34" customFormat="1" hidden="1" outlineLevel="1" x14ac:dyDescent="0.25">
      <c r="A24" s="35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4" customFormat="1" hidden="1" outlineLevel="1" x14ac:dyDescent="0.25">
      <c r="A25" s="35"/>
      <c r="B25" s="10" t="str">
        <f>CONCATENATE("          ","6113", " - ","GROUP INSURANCE")</f>
        <v xml:space="preserve">          6113 - GROUP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SUM(OSRRefD21_0_2x)+IFERROR(SUM(OSRRefE21_0_2x),0)</f>
        <v>0</v>
      </c>
    </row>
    <row r="26" spans="1:17" s="34" customFormat="1" hidden="1" outlineLevel="1" x14ac:dyDescent="0.25">
      <c r="A26" s="35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4" customFormat="1" hidden="1" outlineLevel="1" x14ac:dyDescent="0.25">
      <c r="A27" s="35"/>
      <c r="B27" s="10" t="str">
        <f>CONCATENATE("          ","6115", " - ","P.E.R.S.")</f>
        <v xml:space="preserve">          6115 - P.E.R.S.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4" customFormat="1" hidden="1" outlineLevel="1" x14ac:dyDescent="0.25">
      <c r="A28" s="35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25">
      <c r="A29" s="35"/>
      <c r="B29" s="10" t="str">
        <f>CONCATENATE("          ","6118", " - ","VACATION")</f>
        <v xml:space="preserve">          6118 - VACATION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4" customFormat="1" hidden="1" outlineLevel="1" x14ac:dyDescent="0.25">
      <c r="A30" s="35"/>
      <c r="B30" s="10" t="str">
        <f>CONCATENATE("          ","6119", " - ","SICK LEAVE")</f>
        <v xml:space="preserve">          6119 - SICK LEAVE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4" customFormat="1" collapsed="1" x14ac:dyDescent="0.25">
      <c r="A31" s="35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0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SUM(OSRRefE21_1x_0)</f>
        <v>0</v>
      </c>
      <c r="O31" s="1">
        <f>SUM(OSRRefE21_1x_1)</f>
        <v>0</v>
      </c>
      <c r="Q31" s="2">
        <f>SUM(OSRRefD20_1x)+IFERROR(SUM(OSRRefE20_1x),0)</f>
        <v>0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SUM(OSRRefD21_1_1x)+IFERROR(SUM(OSRRefE21_1_1x),0)</f>
        <v>0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SUM(OSRRefE21_2x_0)</f>
        <v>0</v>
      </c>
      <c r="O42" s="1">
        <f>SUM(OSRRefE21_2x_1)</f>
        <v>0</v>
      </c>
      <c r="Q42" s="2">
        <f>SUM(OSRRefD20_2x)+IFERROR(SUM(OSRRefE20_2x),0)</f>
        <v>0</v>
      </c>
    </row>
    <row r="43" spans="1:17" s="34" customFormat="1" hidden="1" outlineLevel="1" x14ac:dyDescent="0.25">
      <c r="A43" s="35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SUM(OSRRefE21_3x_0)</f>
        <v>0</v>
      </c>
      <c r="O44" s="1">
        <f>SUM(OSRRefE21_3x_1)</f>
        <v>0</v>
      </c>
      <c r="Q44" s="2">
        <f>SUM(OSRRefD20_3x)+IFERROR(SUM(OSRRefE20_3x),0)</f>
        <v>0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4" customFormat="1" collapsed="1" x14ac:dyDescent="0.25">
      <c r="A46" s="35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5330.05</v>
      </c>
      <c r="E46" s="1">
        <f>SUM(OSRRefD21_4x_1)</f>
        <v>5330.05</v>
      </c>
      <c r="F46" s="1">
        <f>SUM(OSRRefD21_4x_2)</f>
        <v>5330.05</v>
      </c>
      <c r="G46" s="1">
        <f>SUM(OSRRefD21_4x_3)</f>
        <v>5233.01</v>
      </c>
      <c r="H46" s="1">
        <f>SUM(OSRRefD21_4x_4)</f>
        <v>5233.01</v>
      </c>
      <c r="I46" s="1">
        <f>SUM(OSRRefD21_4x_5)</f>
        <v>5233.01</v>
      </c>
      <c r="J46" s="1">
        <f>SUM(OSRRefD21_4x_6)</f>
        <v>5233.01</v>
      </c>
      <c r="K46" s="1">
        <f>SUM(OSRRefD21_4x_7)</f>
        <v>5233.01</v>
      </c>
      <c r="L46" s="1">
        <f>SUM(OSRRefD21_4x_8)</f>
        <v>5233.01</v>
      </c>
      <c r="M46" s="1">
        <f>SUM(OSRRefD21_4x_9)</f>
        <v>5233.01</v>
      </c>
      <c r="N46" s="1">
        <f>SUM(OSRRefE21_4x_0)</f>
        <v>5233</v>
      </c>
      <c r="O46" s="1">
        <f>SUM(OSRRefE21_4x_1)</f>
        <v>5233</v>
      </c>
      <c r="Q46" s="2">
        <f>SUM(OSRRefD20_4x)+IFERROR(SUM(OSRRefE20_4x),0)</f>
        <v>63087.220000000016</v>
      </c>
    </row>
    <row r="47" spans="1:17" s="34" customFormat="1" hidden="1" outlineLevel="1" x14ac:dyDescent="0.25">
      <c r="A47" s="35"/>
      <c r="B47" s="10" t="str">
        <f>CONCATENATE("          ","6321", " - ","BUILDING DEPRECIATION")</f>
        <v xml:space="preserve">          6321 - BUILDING DEPRECIATION</v>
      </c>
      <c r="C47" s="11"/>
      <c r="D47" s="2">
        <v>4626.5</v>
      </c>
      <c r="E47" s="2">
        <v>4626.5</v>
      </c>
      <c r="F47" s="2">
        <v>4626.5</v>
      </c>
      <c r="G47" s="2">
        <v>4626.5</v>
      </c>
      <c r="H47" s="2">
        <v>4626.5</v>
      </c>
      <c r="I47" s="2">
        <v>4626.5</v>
      </c>
      <c r="J47" s="2">
        <v>4626.5</v>
      </c>
      <c r="K47" s="2">
        <v>4626.5</v>
      </c>
      <c r="L47" s="2">
        <v>4626.5</v>
      </c>
      <c r="M47" s="2">
        <v>4626.5</v>
      </c>
      <c r="N47" s="2"/>
      <c r="O47" s="2"/>
      <c r="P47" s="9"/>
      <c r="Q47" s="2">
        <f>SUM(OSRRefD21_4_0x)+IFERROR(SUM(OSRRefE21_4_0x),0)</f>
        <v>46265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703.55</v>
      </c>
      <c r="E48" s="2">
        <v>703.55</v>
      </c>
      <c r="F48" s="2">
        <v>703.55</v>
      </c>
      <c r="G48" s="2">
        <v>606.51</v>
      </c>
      <c r="H48" s="2">
        <v>606.51</v>
      </c>
      <c r="I48" s="2">
        <v>606.51</v>
      </c>
      <c r="J48" s="2">
        <v>606.51</v>
      </c>
      <c r="K48" s="2">
        <v>606.51</v>
      </c>
      <c r="L48" s="2">
        <v>606.51</v>
      </c>
      <c r="M48" s="2">
        <v>606.51</v>
      </c>
      <c r="N48" s="2">
        <v>5233</v>
      </c>
      <c r="O48" s="2">
        <v>5233</v>
      </c>
      <c r="P48" s="9"/>
      <c r="Q48" s="2">
        <f>SUM(OSRRefD21_4_1x)+IFERROR(SUM(OSRRefE21_4_1x),0)</f>
        <v>16822.22</v>
      </c>
    </row>
    <row r="49" spans="1:17" s="34" customFormat="1" collapsed="1" x14ac:dyDescent="0.25">
      <c r="A49" s="35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SUM(OSRRefD21_5x_9)</f>
        <v>0</v>
      </c>
      <c r="N49" s="1">
        <f>SUM(OSRRefE21_5x_0)</f>
        <v>0</v>
      </c>
      <c r="O49" s="1">
        <f>SUM(OSRRefE21_5x_1)</f>
        <v>0</v>
      </c>
      <c r="Q49" s="2">
        <f>SUM(OSRRefD20_5x)+IFERROR(SUM(OSRRefE20_5x),0)</f>
        <v>0</v>
      </c>
    </row>
    <row r="50" spans="1:17" s="34" customFormat="1" hidden="1" outlineLevel="1" x14ac:dyDescent="0.25">
      <c r="A50" s="35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/>
      <c r="P50" s="9"/>
      <c r="Q50" s="2">
        <f>SUM(OSRRefD21_5_0x)+IFERROR(SUM(OSRRefE21_5_0x),0)</f>
        <v>0</v>
      </c>
    </row>
    <row r="51" spans="1:17" s="34" customFormat="1" collapsed="1" x14ac:dyDescent="0.25">
      <c r="A51" s="35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SUM(OSRRefE21_6x_0)</f>
        <v>0</v>
      </c>
      <c r="O51" s="1">
        <f>SUM(OSRRefE21_6x_1)</f>
        <v>0</v>
      </c>
      <c r="Q51" s="2">
        <f>SUM(OSRRefD20_6x)+IFERROR(SUM(OSRRefE20_6x),0)</f>
        <v>96.3</v>
      </c>
    </row>
    <row r="52" spans="1:17" s="34" customFormat="1" hidden="1" outlineLevel="1" x14ac:dyDescent="0.25">
      <c r="A52" s="35"/>
      <c r="B52" s="10" t="str">
        <f>CONCATENATE("          ","6351", " - ","EQUIPMENT RENTAL")</f>
        <v xml:space="preserve">          6351 - EQUIPMENT RENTAL</v>
      </c>
      <c r="C52" s="11"/>
      <c r="D52" s="2"/>
      <c r="E52" s="2"/>
      <c r="F52" s="2">
        <v>96.3</v>
      </c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SUM(OSRRefD21_6_0x)+IFERROR(SUM(OSRRefE21_6_0x),0)</f>
        <v>96.3</v>
      </c>
    </row>
    <row r="53" spans="1:17" s="34" customFormat="1" collapsed="1" x14ac:dyDescent="0.25">
      <c r="A53" s="35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SUM(OSRRefD21_7x_0)</f>
        <v>1114.55</v>
      </c>
      <c r="E53" s="1">
        <f>SUM(OSRRefD21_7x_1)</f>
        <v>-1114.55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0</v>
      </c>
      <c r="N53" s="1">
        <f>SUM(OSRRefE21_7x_0)</f>
        <v>0</v>
      </c>
      <c r="O53" s="1">
        <f>SUM(OSRRefE21_7x_1)</f>
        <v>0</v>
      </c>
      <c r="Q53" s="2">
        <f>SUM(OSRRefD20_7x)+IFERROR(SUM(OSRRefE20_7x),0)</f>
        <v>0</v>
      </c>
    </row>
    <row r="54" spans="1:17" s="34" customFormat="1" hidden="1" outlineLevel="1" x14ac:dyDescent="0.25">
      <c r="A54" s="35"/>
      <c r="B54" s="10" t="str">
        <f>CONCATENATE("          ","6279", " - ","GENERAL EXPENSE")</f>
        <v xml:space="preserve">          6279 - GENERAL EXPENSE</v>
      </c>
      <c r="C54" s="11"/>
      <c r="D54" s="2">
        <v>1114.55</v>
      </c>
      <c r="E54" s="2">
        <v>-1114.55</v>
      </c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4" customFormat="1" collapsed="1" x14ac:dyDescent="0.25">
      <c r="A55" s="35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0</v>
      </c>
      <c r="E55" s="1">
        <f>SUM(OSRRefD21_8x_1)</f>
        <v>0</v>
      </c>
      <c r="F55" s="1">
        <f>SUM(OSRRefD21_8x_2)</f>
        <v>5550</v>
      </c>
      <c r="G55" s="1">
        <f>SUM(OSRRefD21_8x_3)</f>
        <v>0</v>
      </c>
      <c r="H55" s="1">
        <f>SUM(OSRRefD21_8x_4)</f>
        <v>0</v>
      </c>
      <c r="I55" s="1">
        <f>SUM(OSRRefD21_8x_5)</f>
        <v>5550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SUM(OSRRefD21_8x_9)</f>
        <v>1850</v>
      </c>
      <c r="N55" s="1">
        <f>SUM(OSRRefE21_8x_0)</f>
        <v>1943</v>
      </c>
      <c r="O55" s="1">
        <f>SUM(OSRRefE21_8x_1)</f>
        <v>1943</v>
      </c>
      <c r="Q55" s="2">
        <f>SUM(OSRRefD20_8x)+IFERROR(SUM(OSRRefE20_8x),0)</f>
        <v>16836</v>
      </c>
    </row>
    <row r="56" spans="1:17" s="34" customFormat="1" hidden="1" outlineLevel="1" x14ac:dyDescent="0.25">
      <c r="A56" s="35"/>
      <c r="B56" s="10" t="str">
        <f>CONCATENATE("          ","6273", " - ","RENT")</f>
        <v xml:space="preserve">          6273 - RENT</v>
      </c>
      <c r="C56" s="11"/>
      <c r="D56" s="2"/>
      <c r="E56" s="2"/>
      <c r="F56" s="2">
        <v>5550</v>
      </c>
      <c r="G56" s="2"/>
      <c r="H56" s="2"/>
      <c r="I56" s="2">
        <v>5550</v>
      </c>
      <c r="J56" s="2"/>
      <c r="K56" s="2"/>
      <c r="L56" s="2"/>
      <c r="M56" s="2">
        <v>1850</v>
      </c>
      <c r="N56" s="2">
        <v>1943</v>
      </c>
      <c r="O56" s="2">
        <v>1943</v>
      </c>
      <c r="P56" s="9"/>
      <c r="Q56" s="2">
        <f>SUM(OSRRefD21_8_0x)+IFERROR(SUM(OSRRefE21_8_0x),0)</f>
        <v>16836</v>
      </c>
    </row>
    <row r="57" spans="1:17" s="34" customFormat="1" collapsed="1" x14ac:dyDescent="0.25">
      <c r="A57" s="35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420.6</v>
      </c>
      <c r="F57" s="1">
        <f>SUM(OSRRefD21_9x_2)</f>
        <v>272.35000000000002</v>
      </c>
      <c r="G57" s="1">
        <f>SUM(OSRRefD21_9x_3)</f>
        <v>0</v>
      </c>
      <c r="H57" s="1">
        <f>SUM(OSRRefD21_9x_4)</f>
        <v>0</v>
      </c>
      <c r="I57" s="1">
        <f>SUM(OSRRefD21_9x_5)</f>
        <v>72.349999999999994</v>
      </c>
      <c r="J57" s="1">
        <f>SUM(OSRRefD21_9x_6)</f>
        <v>0</v>
      </c>
      <c r="K57" s="1">
        <f>SUM(OSRRefD21_9x_7)</f>
        <v>0</v>
      </c>
      <c r="L57" s="1">
        <f>SUM(OSRRefD21_9x_8)</f>
        <v>5622.35</v>
      </c>
      <c r="M57" s="1">
        <f>SUM(OSRRefD21_9x_9)</f>
        <v>0</v>
      </c>
      <c r="N57" s="1">
        <f>SUM(OSRRefE21_9x_0)</f>
        <v>0</v>
      </c>
      <c r="O57" s="1">
        <f>SUM(OSRRefE21_9x_1)</f>
        <v>0</v>
      </c>
      <c r="Q57" s="2">
        <f>SUM(OSRRefD20_9x)+IFERROR(SUM(OSRRefE20_9x),0)</f>
        <v>6387.6500000000005</v>
      </c>
    </row>
    <row r="58" spans="1:17" s="34" customFormat="1" hidden="1" outlineLevel="1" x14ac:dyDescent="0.25">
      <c r="A58" s="35"/>
      <c r="B58" s="10" t="str">
        <f>CONCATENATE("          ","6373", " - ","MAINTENANCE CONTRACTS")</f>
        <v xml:space="preserve">          6373 - MAINTENANCE CONTRACTS</v>
      </c>
      <c r="C58" s="11"/>
      <c r="D58" s="2"/>
      <c r="E58" s="2">
        <v>78.599999999999994</v>
      </c>
      <c r="F58" s="2">
        <v>72.349999999999994</v>
      </c>
      <c r="G58" s="2"/>
      <c r="H58" s="2"/>
      <c r="I58" s="2">
        <v>72.349999999999994</v>
      </c>
      <c r="J58" s="2"/>
      <c r="K58" s="2"/>
      <c r="L58" s="2">
        <v>5622.35</v>
      </c>
      <c r="M58" s="2"/>
      <c r="N58" s="2">
        <v>0</v>
      </c>
      <c r="O58" s="2">
        <v>0</v>
      </c>
      <c r="P58" s="9"/>
      <c r="Q58" s="2">
        <f>SUM(OSRRefD21_9_0x)+IFERROR(SUM(OSRRefE21_9_0x),0)</f>
        <v>5845.6500000000005</v>
      </c>
    </row>
    <row r="59" spans="1:17" s="34" customFormat="1" hidden="1" outlineLevel="1" x14ac:dyDescent="0.25">
      <c r="A59" s="35"/>
      <c r="B59" s="10" t="str">
        <f>CONCATENATE("          ","6375", " - ","OUTSIDE REPAIRS &amp; MAINTENANCE")</f>
        <v xml:space="preserve">          6375 - OUTSIDE REPAIRS &amp; MAINTENANCE</v>
      </c>
      <c r="C59" s="11"/>
      <c r="D59" s="2"/>
      <c r="E59" s="2">
        <v>342</v>
      </c>
      <c r="F59" s="2">
        <v>200</v>
      </c>
      <c r="G59" s="2"/>
      <c r="H59" s="2"/>
      <c r="I59" s="2"/>
      <c r="J59" s="2"/>
      <c r="K59" s="2"/>
      <c r="L59" s="2"/>
      <c r="M59" s="2"/>
      <c r="N59" s="2">
        <v>0</v>
      </c>
      <c r="O59" s="2">
        <v>0</v>
      </c>
      <c r="P59" s="9"/>
      <c r="Q59" s="2">
        <f>SUM(OSRRefD21_9_1x)+IFERROR(SUM(OSRRefE21_9_1x),0)</f>
        <v>542</v>
      </c>
    </row>
    <row r="60" spans="1:17" s="34" customFormat="1" collapsed="1" x14ac:dyDescent="0.25">
      <c r="A60" s="35"/>
      <c r="B60" s="11" t="str">
        <f>CONCATENATE("     ","Royalty &amp; Commissions                             ")</f>
        <v xml:space="preserve">     Royalty &amp; Commissions                             </v>
      </c>
      <c r="C60" s="11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SUM(OSRRefD21_10x_7)</f>
        <v>0</v>
      </c>
      <c r="L60" s="1">
        <f>SUM(OSRRefD21_10x_8)</f>
        <v>0</v>
      </c>
      <c r="M60" s="1">
        <f>SUM(OSRRefD21_10x_9)</f>
        <v>0</v>
      </c>
      <c r="N60" s="1">
        <f>SUM(OSRRefE21_10x_0)</f>
        <v>0</v>
      </c>
      <c r="O60" s="1">
        <f>SUM(OSRRefE21_10x_1)</f>
        <v>0</v>
      </c>
      <c r="Q60" s="2">
        <f>SUM(OSRRefD20_10x)+IFERROR(SUM(OSRRefE20_10x),0)</f>
        <v>0</v>
      </c>
    </row>
    <row r="61" spans="1:17" s="34" customFormat="1" hidden="1" outlineLevel="1" x14ac:dyDescent="0.25">
      <c r="A61" s="35"/>
      <c r="B61" s="10" t="str">
        <f>CONCATENATE("          ","6259", " - ","ROYALTY &amp; COMMISSIONS")</f>
        <v xml:space="preserve">          6259 - ROYALTY &amp; COMMISSIONS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4" customFormat="1" collapsed="1" x14ac:dyDescent="0.25">
      <c r="A62" s="35"/>
      <c r="B62" s="11" t="str">
        <f>CONCATENATE("     ","Services                                          ")</f>
        <v xml:space="preserve">     Services                                          </v>
      </c>
      <c r="C62" s="11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115</v>
      </c>
      <c r="H62" s="1">
        <f>SUM(OSRRefD21_11x_4)</f>
        <v>115</v>
      </c>
      <c r="I62" s="1">
        <f>SUM(OSRRefD21_11x_5)</f>
        <v>115</v>
      </c>
      <c r="J62" s="1">
        <f>SUM(OSRRefD21_11x_6)</f>
        <v>115</v>
      </c>
      <c r="K62" s="1">
        <f>SUM(OSRRefD21_11x_7)</f>
        <v>115</v>
      </c>
      <c r="L62" s="1">
        <f>SUM(OSRRefD21_11x_8)</f>
        <v>-113</v>
      </c>
      <c r="M62" s="1">
        <f>SUM(OSRRefD21_11x_9)</f>
        <v>115</v>
      </c>
      <c r="N62" s="1">
        <f>SUM(OSRRefE21_11x_0)</f>
        <v>0</v>
      </c>
      <c r="O62" s="1">
        <f>SUM(OSRRefE21_11x_1)</f>
        <v>0</v>
      </c>
      <c r="Q62" s="2">
        <f>SUM(OSRRefD20_11x)+IFERROR(SUM(OSRRefE20_11x),0)</f>
        <v>577</v>
      </c>
    </row>
    <row r="63" spans="1:17" s="34" customFormat="1" hidden="1" outlineLevel="1" x14ac:dyDescent="0.25">
      <c r="A63" s="35"/>
      <c r="B63" s="10" t="str">
        <f>CONCATENATE("          ","6282", " - ","JANITORIAL/EXTERMINATOR EXPENS")</f>
        <v xml:space="preserve">          6282 - JANITORIAL/EXTERMINATOR EXPENS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4" customFormat="1" hidden="1" outlineLevel="1" x14ac:dyDescent="0.25">
      <c r="A64" s="35"/>
      <c r="B64" s="10" t="str">
        <f>CONCATENATE("          ","6284", " - ","TRASH REMOVAL EXPENSE")</f>
        <v xml:space="preserve">          6284 - TRASH REMOVAL EXPENSE</v>
      </c>
      <c r="C64" s="11"/>
      <c r="D64" s="2"/>
      <c r="E64" s="2"/>
      <c r="F64" s="2"/>
      <c r="G64" s="2">
        <v>115</v>
      </c>
      <c r="H64" s="2">
        <v>115</v>
      </c>
      <c r="I64" s="2">
        <v>115</v>
      </c>
      <c r="J64" s="2">
        <v>115</v>
      </c>
      <c r="K64" s="2">
        <v>115</v>
      </c>
      <c r="L64" s="2">
        <v>-113</v>
      </c>
      <c r="M64" s="2">
        <v>115</v>
      </c>
      <c r="N64" s="2">
        <v>0</v>
      </c>
      <c r="O64" s="2">
        <v>0</v>
      </c>
      <c r="P64" s="9"/>
      <c r="Q64" s="2">
        <f>SUM(OSRRefD21_11_1x)+IFERROR(SUM(OSRRefE21_11_1x),0)</f>
        <v>577</v>
      </c>
    </row>
    <row r="65" spans="1:17" s="34" customFormat="1" hidden="1" outlineLevel="1" x14ac:dyDescent="0.25">
      <c r="A65" s="35"/>
      <c r="B65" s="10" t="str">
        <f>CONCATENATE("          ","6285", " - ","JANITORIAL SERVICES")</f>
        <v xml:space="preserve">          6285 - JANITORIAL SERVICES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4" customFormat="1" hidden="1" outlineLevel="1" x14ac:dyDescent="0.25">
      <c r="A66" s="35"/>
      <c r="B66" s="10" t="str">
        <f>CONCATENATE("          ","6286", " - ","LAUNDRY EXPENSE")</f>
        <v xml:space="preserve">          6286 - LAUNDRY EXPENSE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4" customFormat="1" collapsed="1" x14ac:dyDescent="0.25">
      <c r="A67" s="35"/>
      <c r="B67" s="11" t="str">
        <f>CONCATENATE("     ","Subscriptions &amp; Dues                              ")</f>
        <v xml:space="preserve">     Subscriptions &amp; Dues                              </v>
      </c>
      <c r="C67" s="11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SUM(OSRRefD21_12x_6)</f>
        <v>0</v>
      </c>
      <c r="K67" s="1">
        <f>SUM(OSRRefD21_12x_7)</f>
        <v>0</v>
      </c>
      <c r="L67" s="1">
        <f>SUM(OSRRefD21_12x_8)</f>
        <v>0</v>
      </c>
      <c r="M67" s="1">
        <f>SUM(OSRRefD21_12x_9)</f>
        <v>0</v>
      </c>
      <c r="N67" s="1">
        <f>SUM(OSRRefE21_12x_0)</f>
        <v>0</v>
      </c>
      <c r="O67" s="1">
        <f>SUM(OSRRefE21_12x_1)</f>
        <v>0</v>
      </c>
      <c r="Q67" s="2">
        <f>SUM(OSRRefD20_12x)+IFERROR(SUM(OSRRefE20_12x),0)</f>
        <v>0</v>
      </c>
    </row>
    <row r="68" spans="1:17" s="34" customFormat="1" hidden="1" outlineLevel="1" x14ac:dyDescent="0.25">
      <c r="A68" s="35"/>
      <c r="B68" s="10" t="str">
        <f>CONCATENATE("          ","6275", " - ","SUBSCRIPTIONS")</f>
        <v xml:space="preserve">          6275 - SUBSCRIPTIONS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4" customFormat="1" collapsed="1" x14ac:dyDescent="0.25">
      <c r="A69" s="35"/>
      <c r="B69" s="11" t="str">
        <f>CONCATENATE("     ","Supplies                                          ")</f>
        <v xml:space="preserve">     Supplies            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72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SUM(OSRRefD21_13x_9)</f>
        <v>0</v>
      </c>
      <c r="N69" s="1">
        <f>SUM(OSRRefE21_13x_0)</f>
        <v>0</v>
      </c>
      <c r="O69" s="1">
        <f>SUM(OSRRefE21_13x_1)</f>
        <v>0</v>
      </c>
      <c r="Q69" s="2">
        <f>SUM(OSRRefD20_13x)+IFERROR(SUM(OSRRefE20_13x),0)</f>
        <v>72</v>
      </c>
    </row>
    <row r="70" spans="1:17" s="34" customFormat="1" hidden="1" outlineLevel="1" x14ac:dyDescent="0.25">
      <c r="A70" s="35"/>
      <c r="B70" s="10" t="str">
        <f>CONCATENATE("          ","6235", " - ","COVID-19 EXPENSES")</f>
        <v xml:space="preserve">          6235 - COVID-19 EXPENSES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34" customFormat="1" hidden="1" outlineLevel="1" x14ac:dyDescent="0.25">
      <c r="A71" s="35"/>
      <c r="B71" s="10" t="str">
        <f>CONCATENATE("          ","6237", " - ","JANITORIAL SUPPLIES")</f>
        <v xml:space="preserve">          6237 - JANITORIAL SUPPLIES</v>
      </c>
      <c r="C71" s="11"/>
      <c r="D71" s="2"/>
      <c r="E71" s="2"/>
      <c r="F71" s="2"/>
      <c r="G71" s="2"/>
      <c r="H71" s="2">
        <v>72</v>
      </c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SUM(OSRRefD21_13_1x)+IFERROR(SUM(OSRRefE21_13_1x),0)</f>
        <v>72</v>
      </c>
    </row>
    <row r="72" spans="1:17" s="34" customFormat="1" hidden="1" outlineLevel="1" x14ac:dyDescent="0.25">
      <c r="A72" s="35"/>
      <c r="B72" s="10" t="str">
        <f>CONCATENATE("          ","6239", " - ","KITCHEN SUPPLIES")</f>
        <v xml:space="preserve">          6239 - KITCHEN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SUM(OSRRefD21_13_2x)+IFERROR(SUM(OSRRefE21_13_2x),0)</f>
        <v>0</v>
      </c>
    </row>
    <row r="73" spans="1:17" s="34" customFormat="1" hidden="1" outlineLevel="1" x14ac:dyDescent="0.25">
      <c r="A73" s="35"/>
      <c r="B73" s="10" t="str">
        <f>CONCATENATE("          ","6241", " - ","OFFICE EXPENSE")</f>
        <v xml:space="preserve">          6241 - OFFICE EXPENSE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>
        <v>0</v>
      </c>
      <c r="O73" s="2">
        <v>0</v>
      </c>
      <c r="P73" s="9"/>
      <c r="Q73" s="2">
        <f>SUM(OSRRefD21_13_3x)+IFERROR(SUM(OSRRefE21_13_3x),0)</f>
        <v>0</v>
      </c>
    </row>
    <row r="74" spans="1:17" s="34" customFormat="1" hidden="1" outlineLevel="1" x14ac:dyDescent="0.25">
      <c r="A74" s="35"/>
      <c r="B74" s="10" t="str">
        <f>CONCATENATE("          ","6243", " - ","PAPER SUPPLIES")</f>
        <v xml:space="preserve">          6243 - PAPER SUPPLIES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>
        <v>0</v>
      </c>
      <c r="O74" s="2">
        <v>0</v>
      </c>
      <c r="P74" s="9"/>
      <c r="Q74" s="2">
        <f>SUM(OSRRefD21_13_4x)+IFERROR(SUM(OSRRefE21_13_4x),0)</f>
        <v>0</v>
      </c>
    </row>
    <row r="75" spans="1:17" s="34" customFormat="1" hidden="1" outlineLevel="1" x14ac:dyDescent="0.25">
      <c r="A75" s="35"/>
      <c r="B75" s="10" t="str">
        <f>CONCATENATE("          ","6245", " - ","PRINTING")</f>
        <v xml:space="preserve">          6245 - PRINTING</v>
      </c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>
        <v>0</v>
      </c>
      <c r="O75" s="2">
        <v>0</v>
      </c>
      <c r="P75" s="9"/>
      <c r="Q75" s="2">
        <f>SUM(OSRRefD21_13_5x)+IFERROR(SUM(OSRRefE21_13_5x),0)</f>
        <v>0</v>
      </c>
    </row>
    <row r="76" spans="1:17" s="34" customFormat="1" hidden="1" outlineLevel="1" x14ac:dyDescent="0.25">
      <c r="A76" s="35"/>
      <c r="B76" s="10" t="str">
        <f>CONCATENATE("          ","6246", " - ","REPLACEMENTS")</f>
        <v xml:space="preserve">          6246 - REPLACEMENTS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>
        <v>0</v>
      </c>
      <c r="O76" s="2">
        <v>0</v>
      </c>
      <c r="P76" s="9"/>
      <c r="Q76" s="2">
        <f>SUM(OSRRefD21_13_6x)+IFERROR(SUM(OSRRefE21_13_6x),0)</f>
        <v>0</v>
      </c>
    </row>
    <row r="77" spans="1:17" s="34" customFormat="1" hidden="1" outlineLevel="1" x14ac:dyDescent="0.25">
      <c r="A77" s="35"/>
      <c r="B77" s="10" t="str">
        <f>CONCATENATE("          ","6247", " - ","STORE SUPPLIES")</f>
        <v xml:space="preserve">          6247 - STORE SUPPLIES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>
        <v>0</v>
      </c>
      <c r="O77" s="2">
        <v>0</v>
      </c>
      <c r="P77" s="9"/>
      <c r="Q77" s="2">
        <f>SUM(OSRRefD21_13_7x)+IFERROR(SUM(OSRRefE21_13_7x),0)</f>
        <v>0</v>
      </c>
    </row>
    <row r="78" spans="1:17" s="34" customFormat="1" collapsed="1" x14ac:dyDescent="0.25">
      <c r="A78" s="35"/>
      <c r="B78" s="11" t="str">
        <f>CONCATENATE("     ","Telephone/Data Lines                              ")</f>
        <v xml:space="preserve">     Telephone/Data Lines                              </v>
      </c>
      <c r="C78" s="11"/>
      <c r="D78" s="1">
        <f>SUM(OSRRefD21_14x_0)</f>
        <v>23</v>
      </c>
      <c r="E78" s="1">
        <f>SUM(OSRRefD21_14x_1)</f>
        <v>46</v>
      </c>
      <c r="F78" s="1">
        <f>SUM(OSRRefD21_14x_2)</f>
        <v>0</v>
      </c>
      <c r="G78" s="1">
        <f>SUM(OSRRefD21_14x_3)</f>
        <v>8.43</v>
      </c>
      <c r="H78" s="1">
        <f>SUM(OSRRefD21_14x_4)</f>
        <v>0</v>
      </c>
      <c r="I78" s="1">
        <f>SUM(OSRRefD21_14x_5)</f>
        <v>0</v>
      </c>
      <c r="J78" s="1">
        <f>SUM(OSRRefD21_14x_6)</f>
        <v>0</v>
      </c>
      <c r="K78" s="1">
        <f>SUM(OSRRefD21_14x_7)</f>
        <v>0</v>
      </c>
      <c r="L78" s="1">
        <f>SUM(OSRRefD21_14x_8)</f>
        <v>0</v>
      </c>
      <c r="M78" s="1">
        <f>SUM(OSRRefD21_14x_9)</f>
        <v>0</v>
      </c>
      <c r="N78" s="1">
        <f>SUM(OSRRefE21_14x_0)</f>
        <v>0</v>
      </c>
      <c r="O78" s="1">
        <f>SUM(OSRRefE21_14x_1)</f>
        <v>0</v>
      </c>
      <c r="Q78" s="2">
        <f>SUM(OSRRefD20_14x)+IFERROR(SUM(OSRRefE20_14x),0)</f>
        <v>77.430000000000007</v>
      </c>
    </row>
    <row r="79" spans="1:17" s="34" customFormat="1" hidden="1" outlineLevel="1" x14ac:dyDescent="0.25">
      <c r="A79" s="35"/>
      <c r="B79" s="10" t="str">
        <f>CONCATENATE("          ","6309", " - ","TELEPHONE")</f>
        <v xml:space="preserve">          6309 - TELEPHONE</v>
      </c>
      <c r="C79" s="11"/>
      <c r="D79" s="2">
        <v>23</v>
      </c>
      <c r="E79" s="2">
        <v>46</v>
      </c>
      <c r="F79" s="2"/>
      <c r="G79" s="2">
        <v>8.43</v>
      </c>
      <c r="H79" s="2"/>
      <c r="I79" s="2"/>
      <c r="J79" s="2"/>
      <c r="K79" s="2"/>
      <c r="L79" s="2"/>
      <c r="M79" s="2"/>
      <c r="N79" s="2">
        <v>0</v>
      </c>
      <c r="O79" s="2">
        <v>0</v>
      </c>
      <c r="P79" s="9"/>
      <c r="Q79" s="2">
        <f>SUM(OSRRefD21_14_0x)+IFERROR(SUM(OSRRefE21_14_0x),0)</f>
        <v>77.430000000000007</v>
      </c>
    </row>
    <row r="80" spans="1:17" s="34" customFormat="1" collapsed="1" x14ac:dyDescent="0.25">
      <c r="A80" s="35"/>
      <c r="B80" s="11" t="str">
        <f>CONCATENATE("     ","Utilities                                         ")</f>
        <v xml:space="preserve">     Utilities                                         </v>
      </c>
      <c r="C80" s="11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348</v>
      </c>
      <c r="H80" s="1">
        <f>SUM(OSRRefD21_15x_4)</f>
        <v>348</v>
      </c>
      <c r="I80" s="1">
        <f>SUM(OSRRefD21_15x_5)</f>
        <v>348</v>
      </c>
      <c r="J80" s="1">
        <f>SUM(OSRRefD21_15x_6)</f>
        <v>348</v>
      </c>
      <c r="K80" s="1">
        <f>SUM(OSRRefD21_15x_7)</f>
        <v>348</v>
      </c>
      <c r="L80" s="1">
        <f>SUM(OSRRefD21_15x_8)</f>
        <v>-486</v>
      </c>
      <c r="M80" s="1">
        <f>SUM(OSRRefD21_15x_9)</f>
        <v>348</v>
      </c>
      <c r="N80" s="1">
        <f>SUM(OSRRefE21_15x_0)</f>
        <v>0</v>
      </c>
      <c r="O80" s="1">
        <f>SUM(OSRRefE21_15x_1)</f>
        <v>0</v>
      </c>
      <c r="Q80" s="2">
        <f>SUM(OSRRefD20_15x)+IFERROR(SUM(OSRRefE20_15x),0)</f>
        <v>1602</v>
      </c>
    </row>
    <row r="81" spans="1:17" s="34" customFormat="1" hidden="1" outlineLevel="1" x14ac:dyDescent="0.25">
      <c r="A81" s="35"/>
      <c r="B81" s="10" t="str">
        <f>CONCATENATE("          ","6274", " - ","UTILITIES")</f>
        <v xml:space="preserve">          6274 - UTILITIES</v>
      </c>
      <c r="C81" s="11"/>
      <c r="D81" s="2"/>
      <c r="E81" s="2"/>
      <c r="F81" s="2"/>
      <c r="G81" s="2">
        <v>348</v>
      </c>
      <c r="H81" s="2">
        <v>348</v>
      </c>
      <c r="I81" s="2">
        <v>348</v>
      </c>
      <c r="J81" s="2">
        <v>348</v>
      </c>
      <c r="K81" s="2">
        <v>348</v>
      </c>
      <c r="L81" s="2">
        <v>-486</v>
      </c>
      <c r="M81" s="2">
        <v>348</v>
      </c>
      <c r="N81" s="2">
        <v>0</v>
      </c>
      <c r="O81" s="2">
        <v>0</v>
      </c>
      <c r="P81" s="9"/>
      <c r="Q81" s="2">
        <f>SUM(OSRRefD21_15_0x)+IFERROR(SUM(OSRRefE21_15_0x),0)</f>
        <v>1602</v>
      </c>
    </row>
    <row r="82" spans="1:17" s="30" customFormat="1" x14ac:dyDescent="0.25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25">
      <c r="A83" s="23"/>
      <c r="B83" s="16" t="s">
        <v>291</v>
      </c>
      <c r="C83" s="22"/>
      <c r="D83" s="3">
        <f t="shared" ref="D83:M83" si="3">0</f>
        <v>0</v>
      </c>
      <c r="E83" s="3">
        <f t="shared" si="3"/>
        <v>0</v>
      </c>
      <c r="F83" s="3">
        <f t="shared" si="3"/>
        <v>0</v>
      </c>
      <c r="G83" s="3">
        <f t="shared" si="3"/>
        <v>0</v>
      </c>
      <c r="H83" s="3">
        <f t="shared" si="3"/>
        <v>0</v>
      </c>
      <c r="I83" s="3">
        <f t="shared" si="3"/>
        <v>0</v>
      </c>
      <c r="J83" s="3">
        <f t="shared" si="3"/>
        <v>0</v>
      </c>
      <c r="K83" s="3">
        <f t="shared" si="3"/>
        <v>0</v>
      </c>
      <c r="L83" s="3">
        <f t="shared" si="3"/>
        <v>0</v>
      </c>
      <c r="M83" s="3">
        <f t="shared" si="3"/>
        <v>0</v>
      </c>
      <c r="N83" s="3"/>
      <c r="O83" s="3"/>
      <c r="Q83" s="2">
        <f>SUM(OSRRefD23_0x)+IFERROR(SUM(OSRRefE23_0x),0)</f>
        <v>0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6"/>
      <c r="B85" s="17" t="s">
        <v>274</v>
      </c>
      <c r="C85" s="17"/>
      <c r="D85" s="8">
        <f t="shared" ref="D85:O85" si="4">IFERROR(+D18-D21+D83, 0)</f>
        <v>-6467.6</v>
      </c>
      <c r="E85" s="8">
        <f t="shared" si="4"/>
        <v>-4682.1000000000004</v>
      </c>
      <c r="F85" s="8">
        <f t="shared" si="4"/>
        <v>-11248.7</v>
      </c>
      <c r="G85" s="8">
        <f t="shared" si="4"/>
        <v>-5704.4400000000005</v>
      </c>
      <c r="H85" s="8">
        <f t="shared" si="4"/>
        <v>-5768.84</v>
      </c>
      <c r="I85" s="8">
        <f t="shared" si="4"/>
        <v>-11318.36</v>
      </c>
      <c r="J85" s="8">
        <f t="shared" si="4"/>
        <v>-5696.01</v>
      </c>
      <c r="K85" s="8">
        <f t="shared" si="4"/>
        <v>-3326.46</v>
      </c>
      <c r="L85" s="8">
        <f t="shared" si="4"/>
        <v>-10256.36</v>
      </c>
      <c r="M85" s="8">
        <f t="shared" si="4"/>
        <v>-7546.01</v>
      </c>
      <c r="N85" s="8">
        <f t="shared" si="4"/>
        <v>-7176</v>
      </c>
      <c r="O85" s="8">
        <f t="shared" si="4"/>
        <v>-7176</v>
      </c>
      <c r="Q85" s="8">
        <f>IFERROR(+Q18-Q21+Q83, 0)</f>
        <v>-86366.88</v>
      </c>
    </row>
    <row r="86" spans="1:17" s="6" customFormat="1" x14ac:dyDescent="0.25">
      <c r="B86" s="16"/>
      <c r="C86" s="16"/>
      <c r="D86" s="4">
        <f t="shared" ref="D86:O86" si="5">IFERROR(D85/D10, 0)</f>
        <v>0</v>
      </c>
      <c r="E86" s="4">
        <f t="shared" si="5"/>
        <v>0</v>
      </c>
      <c r="F86" s="4">
        <f t="shared" si="5"/>
        <v>0</v>
      </c>
      <c r="G86" s="4">
        <f t="shared" si="5"/>
        <v>0</v>
      </c>
      <c r="H86" s="4">
        <f t="shared" si="5"/>
        <v>0</v>
      </c>
      <c r="I86" s="4">
        <f t="shared" si="5"/>
        <v>0</v>
      </c>
      <c r="J86" s="4">
        <f t="shared" si="5"/>
        <v>0</v>
      </c>
      <c r="K86" s="4">
        <f t="shared" si="5"/>
        <v>0</v>
      </c>
      <c r="L86" s="4">
        <f t="shared" si="5"/>
        <v>0</v>
      </c>
      <c r="M86" s="4">
        <f t="shared" si="5"/>
        <v>0</v>
      </c>
      <c r="N86" s="4">
        <f t="shared" si="5"/>
        <v>0</v>
      </c>
      <c r="O86" s="4">
        <f t="shared" si="5"/>
        <v>0</v>
      </c>
      <c r="P86" s="18"/>
      <c r="Q86" s="4">
        <f>IFERROR(Q85/Q10, 0)</f>
        <v>0</v>
      </c>
    </row>
    <row r="87" spans="1:17" x14ac:dyDescent="0.25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25"/>
      <c r="B88" s="6" t="s">
        <v>125</v>
      </c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2">
        <f>SUM(OSRRefD28_0x)+IFERROR(SUM(OSRRefE28_0x),0)</f>
        <v>0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.75" thickBot="1" x14ac:dyDescent="0.3">
      <c r="A90" s="6"/>
      <c r="B90" s="17" t="s">
        <v>124</v>
      </c>
      <c r="C90" s="17"/>
      <c r="D90" s="7">
        <f t="shared" ref="D90:O90" si="6">IFERROR(+D85-D88, 0)</f>
        <v>-6467.6</v>
      </c>
      <c r="E90" s="7">
        <f t="shared" si="6"/>
        <v>-4682.1000000000004</v>
      </c>
      <c r="F90" s="7">
        <f t="shared" si="6"/>
        <v>-11248.7</v>
      </c>
      <c r="G90" s="7">
        <f t="shared" si="6"/>
        <v>-5704.4400000000005</v>
      </c>
      <c r="H90" s="7">
        <f t="shared" si="6"/>
        <v>-5768.84</v>
      </c>
      <c r="I90" s="7">
        <f t="shared" si="6"/>
        <v>-11318.36</v>
      </c>
      <c r="J90" s="7">
        <f t="shared" si="6"/>
        <v>-5696.01</v>
      </c>
      <c r="K90" s="7">
        <f t="shared" si="6"/>
        <v>-3326.46</v>
      </c>
      <c r="L90" s="7">
        <f t="shared" si="6"/>
        <v>-10256.36</v>
      </c>
      <c r="M90" s="7">
        <f t="shared" si="6"/>
        <v>-7546.01</v>
      </c>
      <c r="N90" s="7">
        <f t="shared" si="6"/>
        <v>-7176</v>
      </c>
      <c r="O90" s="7">
        <f t="shared" si="6"/>
        <v>-7176</v>
      </c>
      <c r="Q90" s="7">
        <f>IFERROR(+Q85-Q88, 0)</f>
        <v>-86366.88</v>
      </c>
    </row>
    <row r="91" spans="1:17" ht="15.75" thickTop="1" x14ac:dyDescent="0.25">
      <c r="A91" s="5"/>
      <c r="B91" s="5"/>
      <c r="C91" s="5"/>
      <c r="D91" s="4">
        <f t="shared" ref="D91:O91" si="7">IFERROR(D90/D10, 0)</f>
        <v>0</v>
      </c>
      <c r="E91" s="4">
        <f t="shared" si="7"/>
        <v>0</v>
      </c>
      <c r="F91" s="4">
        <f t="shared" si="7"/>
        <v>0</v>
      </c>
      <c r="G91" s="4">
        <f t="shared" si="7"/>
        <v>0</v>
      </c>
      <c r="H91" s="4">
        <f t="shared" si="7"/>
        <v>0</v>
      </c>
      <c r="I91" s="4">
        <f t="shared" si="7"/>
        <v>0</v>
      </c>
      <c r="J91" s="4">
        <f t="shared" si="7"/>
        <v>0</v>
      </c>
      <c r="K91" s="4">
        <f t="shared" si="7"/>
        <v>0</v>
      </c>
      <c r="L91" s="4">
        <f t="shared" si="7"/>
        <v>0</v>
      </c>
      <c r="M91" s="4">
        <f t="shared" si="7"/>
        <v>0</v>
      </c>
      <c r="N91" s="4">
        <f t="shared" si="7"/>
        <v>0</v>
      </c>
      <c r="O91" s="4">
        <f t="shared" si="7"/>
        <v>0</v>
      </c>
      <c r="P91" s="18"/>
      <c r="Q91" s="4">
        <f>IFERROR(Q90/Q10, 0)</f>
        <v>0</v>
      </c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292</v>
      </c>
      <c r="C94" s="17"/>
      <c r="D94" s="7">
        <f t="shared" ref="D94:O94" si="8">IFERROR(SUM(D90:D93), 0)</f>
        <v>-6467.6</v>
      </c>
      <c r="E94" s="7">
        <f t="shared" si="8"/>
        <v>-4682.1000000000004</v>
      </c>
      <c r="F94" s="7">
        <f t="shared" si="8"/>
        <v>-11248.7</v>
      </c>
      <c r="G94" s="7">
        <f t="shared" si="8"/>
        <v>-5704.4400000000005</v>
      </c>
      <c r="H94" s="7">
        <f t="shared" si="8"/>
        <v>-5768.84</v>
      </c>
      <c r="I94" s="7">
        <f t="shared" si="8"/>
        <v>-11318.36</v>
      </c>
      <c r="J94" s="7">
        <f t="shared" si="8"/>
        <v>-5696.01</v>
      </c>
      <c r="K94" s="7">
        <f t="shared" si="8"/>
        <v>-3326.46</v>
      </c>
      <c r="L94" s="7">
        <f t="shared" si="8"/>
        <v>-10256.36</v>
      </c>
      <c r="M94" s="7">
        <f t="shared" si="8"/>
        <v>-7546.01</v>
      </c>
      <c r="N94" s="7">
        <f t="shared" si="8"/>
        <v>-7176</v>
      </c>
      <c r="O94" s="7">
        <f t="shared" si="8"/>
        <v>-7176</v>
      </c>
      <c r="Q94" s="7">
        <f>IFERROR(SUM(Q90:Q93), 0)</f>
        <v>-86366.88</v>
      </c>
    </row>
    <row r="95" spans="1:17" ht="15.75" thickTop="1" x14ac:dyDescent="0.25">
      <c r="A95" s="5"/>
      <c r="C95" s="5"/>
      <c r="D95" s="4">
        <f t="shared" ref="D95:O95" si="9">IFERROR(D94/D10, 0)</f>
        <v>0</v>
      </c>
      <c r="E95" s="4">
        <f t="shared" si="9"/>
        <v>0</v>
      </c>
      <c r="F95" s="4">
        <f t="shared" si="9"/>
        <v>0</v>
      </c>
      <c r="G95" s="4">
        <f t="shared" si="9"/>
        <v>0</v>
      </c>
      <c r="H95" s="4">
        <f t="shared" si="9"/>
        <v>0</v>
      </c>
      <c r="I95" s="4">
        <f t="shared" si="9"/>
        <v>0</v>
      </c>
      <c r="J95" s="4">
        <f t="shared" si="9"/>
        <v>0</v>
      </c>
      <c r="K95" s="4">
        <f t="shared" si="9"/>
        <v>0</v>
      </c>
      <c r="L95" s="4">
        <f t="shared" si="9"/>
        <v>0</v>
      </c>
      <c r="M95" s="4">
        <f t="shared" si="9"/>
        <v>0</v>
      </c>
      <c r="N95" s="4">
        <f t="shared" si="9"/>
        <v>0</v>
      </c>
      <c r="O95" s="4">
        <f t="shared" si="9"/>
        <v>0</v>
      </c>
      <c r="P95" s="18"/>
      <c r="Q95" s="4">
        <f>IFERROR(Q94/Q10, 0)</f>
        <v>0</v>
      </c>
    </row>
    <row r="96" spans="1:17" x14ac:dyDescent="0.25">
      <c r="A96" s="5"/>
      <c r="B96" s="27">
        <v>44330.012769791669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25">
      <c r="A97" s="5"/>
      <c r="B97" s="31" t="s">
        <v>54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25">
      <c r="A98" s="5"/>
      <c r="B98" s="26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25"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880.36999999999989</v>
      </c>
      <c r="E17" s="14">
        <f>SUM(OSRRefD20x_1)</f>
        <v>234.14999999999998</v>
      </c>
      <c r="F17" s="14">
        <f>SUM(OSRRefD20x_2)</f>
        <v>188.84</v>
      </c>
      <c r="G17" s="14">
        <f>SUM(OSRRefD20x_3)</f>
        <v>132.75</v>
      </c>
      <c r="H17" s="14">
        <f>SUM(OSRRefD20x_4)</f>
        <v>119.55</v>
      </c>
      <c r="I17" s="14">
        <f>SUM(OSRRefD20x_5)</f>
        <v>188.84</v>
      </c>
      <c r="J17" s="14">
        <f>SUM(OSRRefD20x_6)</f>
        <v>119.55</v>
      </c>
      <c r="K17" s="14">
        <f>SUM(OSRRefD20x_7)</f>
        <v>119.55</v>
      </c>
      <c r="L17" s="14">
        <f>SUM(OSRRefD20x_8)</f>
        <v>188.84</v>
      </c>
      <c r="M17" s="14">
        <f>SUM(OSRRefD20x_9)</f>
        <v>119.55</v>
      </c>
      <c r="N17" s="14">
        <f>SUM(OSRRefE20x_0)</f>
        <v>435</v>
      </c>
      <c r="O17" s="14">
        <f>SUM(OSRRefE20x_1)</f>
        <v>435</v>
      </c>
      <c r="Q17" s="14">
        <f>SUM(OSRRefG20x)</f>
        <v>3161.99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SUM(OSRRefE21_0x_0)</f>
        <v>0</v>
      </c>
      <c r="O18" s="1">
        <f>SUM(OSRRefE21_0x_1)</f>
        <v>0</v>
      </c>
      <c r="Q18" s="2">
        <f>SUM(OSRRefD20_0x)+IFERROR(SUM(OSRRefE20_0x),0)</f>
        <v>660.8</v>
      </c>
    </row>
    <row r="19" spans="1:17" s="34" customFormat="1" hidden="1" outlineLevel="1" x14ac:dyDescent="0.25">
      <c r="A19" s="35"/>
      <c r="B19" s="10" t="str">
        <f>CONCATENATE("          ","6113", " - ","GROUP INSURANCE")</f>
        <v xml:space="preserve">          6113 - GROUP INSURANCE</v>
      </c>
      <c r="C19" s="11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4" customFormat="1" collapsed="1" x14ac:dyDescent="0.25">
      <c r="A20" s="35"/>
      <c r="B20" s="11" t="str">
        <f>CONCATENATE("     ","Depreciation                                      ")</f>
        <v xml:space="preserve">     Depreciation                                      </v>
      </c>
      <c r="C20" s="11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SUM(OSRRefD21_1x_7)</f>
        <v>119.55</v>
      </c>
      <c r="L20" s="1">
        <f>SUM(OSRRefD21_1x_8)</f>
        <v>119.55</v>
      </c>
      <c r="M20" s="1">
        <f>SUM(OSRRefD21_1x_9)</f>
        <v>119.55</v>
      </c>
      <c r="N20" s="1">
        <f>SUM(OSRRefE21_1x_0)</f>
        <v>435</v>
      </c>
      <c r="O20" s="1">
        <f>SUM(OSRRefE21_1x_1)</f>
        <v>435</v>
      </c>
      <c r="Q20" s="2">
        <f>SUM(OSRRefD20_1x)+IFERROR(SUM(OSRRefE20_1x),0)</f>
        <v>2065.5</v>
      </c>
    </row>
    <row r="21" spans="1:17" s="34" customFormat="1" hidden="1" outlineLevel="1" x14ac:dyDescent="0.25">
      <c r="A21" s="35"/>
      <c r="B21" s="10" t="str">
        <f>CONCATENATE("          ","6322", " - ","EQUIPMENT DEPRECIATION EXPENSE")</f>
        <v xml:space="preserve">          6322 - EQUIPMENT DEPRECIATION EXPENSE</v>
      </c>
      <c r="C21" s="11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119.55</v>
      </c>
      <c r="L21" s="2">
        <v>119.55</v>
      </c>
      <c r="M21" s="2">
        <v>119.55</v>
      </c>
      <c r="N21" s="2">
        <v>435</v>
      </c>
      <c r="O21" s="2">
        <v>435</v>
      </c>
      <c r="P21" s="9"/>
      <c r="Q21" s="2">
        <f>SUM(OSRRefD21_1_0x)+IFERROR(SUM(OSRRefE21_1_0x),0)</f>
        <v>2065.5</v>
      </c>
    </row>
    <row r="22" spans="1:17" s="34" customFormat="1" collapsed="1" x14ac:dyDescent="0.25">
      <c r="A22" s="35"/>
      <c r="B22" s="11" t="str">
        <f>CONCATENATE("     ","Equipment Rental                                  ")</f>
        <v xml:space="preserve">     Equipment Rental                                  </v>
      </c>
      <c r="C22" s="11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SUM(OSRRefE21_2x_0)</f>
        <v>0</v>
      </c>
      <c r="O22" s="1">
        <f>SUM(OSRRefE21_2x_1)</f>
        <v>0</v>
      </c>
      <c r="Q22" s="2">
        <f>SUM(OSRRefD20_2x)+IFERROR(SUM(OSRRefE20_2x),0)</f>
        <v>64.02</v>
      </c>
    </row>
    <row r="23" spans="1:17" s="34" customFormat="1" hidden="1" outlineLevel="1" x14ac:dyDescent="0.25">
      <c r="A23" s="35"/>
      <c r="B23" s="10" t="str">
        <f>CONCATENATE("          ","6351", " - ","EQUIPMENT RENTAL")</f>
        <v xml:space="preserve">          6351 - EQUIPMENT RENTAL</v>
      </c>
      <c r="C23" s="11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4" customFormat="1" collapsed="1" x14ac:dyDescent="0.25">
      <c r="A24" s="35"/>
      <c r="B24" s="11" t="str">
        <f>CONCATENATE("     ","Repair and Maintenance                            ")</f>
        <v xml:space="preserve">     Repair and Maintenance                            </v>
      </c>
      <c r="C24" s="11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SUM(OSRRefD21_3x_7)</f>
        <v>0</v>
      </c>
      <c r="L24" s="1">
        <f>SUM(OSRRefD21_3x_8)</f>
        <v>69.290000000000006</v>
      </c>
      <c r="M24" s="1">
        <f>SUM(OSRRefD21_3x_9)</f>
        <v>0</v>
      </c>
      <c r="N24" s="1">
        <f>SUM(OSRRefE21_3x_0)</f>
        <v>0</v>
      </c>
      <c r="O24" s="1">
        <f>SUM(OSRRefE21_3x_1)</f>
        <v>0</v>
      </c>
      <c r="Q24" s="2">
        <f>SUM(OSRRefD20_3x)+IFERROR(SUM(OSRRefE20_3x),0)</f>
        <v>286.47000000000003</v>
      </c>
    </row>
    <row r="25" spans="1:17" s="34" customFormat="1" hidden="1" outlineLevel="1" x14ac:dyDescent="0.25">
      <c r="A25" s="35"/>
      <c r="B25" s="10" t="str">
        <f>CONCATENATE("          ","6373", " - ","MAINTENANCE CONTRACTS")</f>
        <v xml:space="preserve">          6373 - MAINTENANCE CONTRACTS</v>
      </c>
      <c r="C25" s="11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>
        <v>69.290000000000006</v>
      </c>
      <c r="M25" s="2"/>
      <c r="N25" s="2"/>
      <c r="O25" s="2"/>
      <c r="P25" s="9"/>
      <c r="Q25" s="2">
        <f>SUM(OSRRefD21_3_0x)+IFERROR(SUM(OSRRefE21_3_0x),0)</f>
        <v>286.47000000000003</v>
      </c>
    </row>
    <row r="26" spans="1:17" s="34" customFormat="1" collapsed="1" x14ac:dyDescent="0.25">
      <c r="A26" s="35"/>
      <c r="B26" s="11" t="str">
        <f>CONCATENATE("     ","Telephone/Data Lines                              ")</f>
        <v xml:space="preserve">     Telephone/Data Lines                              </v>
      </c>
      <c r="C26" s="11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SUM(OSRRefD21_4x_7)</f>
        <v>0</v>
      </c>
      <c r="L26" s="1">
        <f>SUM(OSRRefD21_4x_8)</f>
        <v>0</v>
      </c>
      <c r="M26" s="1">
        <f>SUM(OSRRefD21_4x_9)</f>
        <v>0</v>
      </c>
      <c r="N26" s="1">
        <f>SUM(OSRRefE21_4x_0)</f>
        <v>0</v>
      </c>
      <c r="O26" s="1">
        <f>SUM(OSRRefE21_4x_1)</f>
        <v>0</v>
      </c>
      <c r="Q26" s="2">
        <f>SUM(OSRRefD20_4x)+IFERROR(SUM(OSRRefE20_4x),0)</f>
        <v>85.2</v>
      </c>
    </row>
    <row r="27" spans="1:17" s="34" customFormat="1" hidden="1" outlineLevel="1" x14ac:dyDescent="0.25">
      <c r="A27" s="35"/>
      <c r="B27" s="10" t="str">
        <f>CONCATENATE("          ","6309", " - ","TELEPHONE")</f>
        <v xml:space="preserve">          6309 - TELEPHONE</v>
      </c>
      <c r="C27" s="11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30" customFormat="1" x14ac:dyDescent="0.25">
      <c r="A28" s="21"/>
      <c r="B28" s="21"/>
      <c r="C28" s="2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25">
      <c r="A29" s="23"/>
      <c r="B29" s="16" t="s">
        <v>291</v>
      </c>
      <c r="C29" s="22"/>
      <c r="D29" s="3">
        <f t="shared" ref="D29:M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>
        <f t="shared" si="4"/>
        <v>0</v>
      </c>
      <c r="M29" s="3">
        <f t="shared" si="4"/>
        <v>0</v>
      </c>
      <c r="N29" s="3"/>
      <c r="O29" s="3"/>
      <c r="Q29" s="2">
        <f>SUM(OSRRefD23_0x)+IFERROR(SUM(OSRRefE23_0x),0)</f>
        <v>0</v>
      </c>
    </row>
    <row r="30" spans="1:17" x14ac:dyDescent="0.25">
      <c r="A30" s="5"/>
      <c r="B30" s="6"/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x14ac:dyDescent="0.25">
      <c r="A31" s="6"/>
      <c r="B31" s="17" t="s">
        <v>274</v>
      </c>
      <c r="C31" s="17"/>
      <c r="D31" s="8">
        <f t="shared" ref="D31:O31" si="5">IFERROR(+D14-D17+D29, 0)</f>
        <v>-880.36999999999989</v>
      </c>
      <c r="E31" s="8">
        <f t="shared" si="5"/>
        <v>-234.14999999999998</v>
      </c>
      <c r="F31" s="8">
        <f t="shared" si="5"/>
        <v>-188.84</v>
      </c>
      <c r="G31" s="8">
        <f t="shared" si="5"/>
        <v>-132.75</v>
      </c>
      <c r="H31" s="8">
        <f t="shared" si="5"/>
        <v>-119.55</v>
      </c>
      <c r="I31" s="8">
        <f t="shared" si="5"/>
        <v>-188.84</v>
      </c>
      <c r="J31" s="8">
        <f t="shared" si="5"/>
        <v>-119.55</v>
      </c>
      <c r="K31" s="8">
        <f t="shared" si="5"/>
        <v>-119.55</v>
      </c>
      <c r="L31" s="8">
        <f t="shared" si="5"/>
        <v>-188.84</v>
      </c>
      <c r="M31" s="8">
        <f t="shared" si="5"/>
        <v>-119.55</v>
      </c>
      <c r="N31" s="8">
        <f t="shared" si="5"/>
        <v>-435</v>
      </c>
      <c r="O31" s="8">
        <f t="shared" si="5"/>
        <v>-435</v>
      </c>
      <c r="Q31" s="8">
        <f>IFERROR(+Q14-Q17+Q29, 0)</f>
        <v>-3161.99</v>
      </c>
    </row>
    <row r="32" spans="1:17" s="6" customFormat="1" x14ac:dyDescent="0.2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2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x14ac:dyDescent="0.25">
      <c r="A34" s="25"/>
      <c r="B34" s="6" t="s">
        <v>125</v>
      </c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2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124</v>
      </c>
      <c r="C36" s="17"/>
      <c r="D36" s="7">
        <f t="shared" ref="D36:O36" si="7">IFERROR(+D31-D34, 0)</f>
        <v>-880.36999999999989</v>
      </c>
      <c r="E36" s="7">
        <f t="shared" si="7"/>
        <v>-234.14999999999998</v>
      </c>
      <c r="F36" s="7">
        <f t="shared" si="7"/>
        <v>-188.84</v>
      </c>
      <c r="G36" s="7">
        <f t="shared" si="7"/>
        <v>-132.75</v>
      </c>
      <c r="H36" s="7">
        <f t="shared" si="7"/>
        <v>-119.55</v>
      </c>
      <c r="I36" s="7">
        <f t="shared" si="7"/>
        <v>-188.84</v>
      </c>
      <c r="J36" s="7">
        <f t="shared" si="7"/>
        <v>-119.55</v>
      </c>
      <c r="K36" s="7">
        <f t="shared" si="7"/>
        <v>-119.55</v>
      </c>
      <c r="L36" s="7">
        <f t="shared" si="7"/>
        <v>-188.84</v>
      </c>
      <c r="M36" s="7">
        <f t="shared" si="7"/>
        <v>-119.55</v>
      </c>
      <c r="N36" s="7">
        <f t="shared" si="7"/>
        <v>-435</v>
      </c>
      <c r="O36" s="7">
        <f t="shared" si="7"/>
        <v>-435</v>
      </c>
      <c r="Q36" s="7">
        <f>IFERROR(+Q31-Q34, 0)</f>
        <v>-3161.99</v>
      </c>
    </row>
    <row r="37" spans="1:17" ht="15.75" thickTop="1" x14ac:dyDescent="0.2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5" customFormat="1" ht="15.75" thickBot="1" x14ac:dyDescent="0.3">
      <c r="A40" s="6"/>
      <c r="B40" s="17" t="s">
        <v>292</v>
      </c>
      <c r="C40" s="17"/>
      <c r="D40" s="7">
        <f t="shared" ref="D40:O40" si="9">IFERROR(SUM(D36:D39), 0)</f>
        <v>-880.36999999999989</v>
      </c>
      <c r="E40" s="7">
        <f t="shared" si="9"/>
        <v>-234.14999999999998</v>
      </c>
      <c r="F40" s="7">
        <f t="shared" si="9"/>
        <v>-188.84</v>
      </c>
      <c r="G40" s="7">
        <f t="shared" si="9"/>
        <v>-132.75</v>
      </c>
      <c r="H40" s="7">
        <f t="shared" si="9"/>
        <v>-119.55</v>
      </c>
      <c r="I40" s="7">
        <f t="shared" si="9"/>
        <v>-188.84</v>
      </c>
      <c r="J40" s="7">
        <f t="shared" si="9"/>
        <v>-119.55</v>
      </c>
      <c r="K40" s="7">
        <f t="shared" si="9"/>
        <v>-119.55</v>
      </c>
      <c r="L40" s="7">
        <f t="shared" si="9"/>
        <v>-188.84</v>
      </c>
      <c r="M40" s="7">
        <f t="shared" si="9"/>
        <v>-119.55</v>
      </c>
      <c r="N40" s="7">
        <f t="shared" si="9"/>
        <v>-435</v>
      </c>
      <c r="O40" s="7">
        <f t="shared" si="9"/>
        <v>-435</v>
      </c>
      <c r="Q40" s="7">
        <f>IFERROR(SUM(Q36:Q39), 0)</f>
        <v>-3161.99</v>
      </c>
    </row>
    <row r="41" spans="1:17" ht="15.75" thickTop="1" x14ac:dyDescent="0.2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25">
      <c r="A42" s="5"/>
      <c r="B42" s="27">
        <v>44330.012769791669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A43" s="5"/>
      <c r="B43" s="31" t="s">
        <v>54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25">
      <c r="A44" s="5"/>
      <c r="B44" s="26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  <row r="45" spans="1:17" x14ac:dyDescent="0.25"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Q4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30652.21</v>
      </c>
      <c r="E17" s="14">
        <f>SUM(OSRRefD20x_1)</f>
        <v>-330.0000000000029</v>
      </c>
      <c r="F17" s="14">
        <f>SUM(OSRRefD20x_2)</f>
        <v>28429.94</v>
      </c>
      <c r="G17" s="14">
        <f>SUM(OSRRefD20x_3)</f>
        <v>25379.569999999992</v>
      </c>
      <c r="H17" s="14">
        <f>SUM(OSRRefD20x_4)</f>
        <v>35067.669999999991</v>
      </c>
      <c r="I17" s="14">
        <f>SUM(OSRRefD20x_5)</f>
        <v>33196.869999999995</v>
      </c>
      <c r="J17" s="14">
        <f>SUM(OSRRefD20x_6)</f>
        <v>37456.579999999994</v>
      </c>
      <c r="K17" s="14">
        <f>SUM(OSRRefD20x_7)</f>
        <v>35083.659999999996</v>
      </c>
      <c r="L17" s="14">
        <f>SUM(OSRRefD20x_8)</f>
        <v>28376.87</v>
      </c>
      <c r="M17" s="14">
        <f>SUM(OSRRefD20x_9)</f>
        <v>38137.349999999991</v>
      </c>
      <c r="N17" s="14">
        <f>SUM(OSRRefE20x_0)</f>
        <v>23939.552380000001</v>
      </c>
      <c r="O17" s="14">
        <f>SUM(OSRRefE20x_1)</f>
        <v>23118.552380000001</v>
      </c>
      <c r="Q17" s="14">
        <f>SUM(OSRRefG20x)</f>
        <v>338508.82475999999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SUM(OSRRefD21_0x_7)</f>
        <v>5593.32</v>
      </c>
      <c r="L18" s="1">
        <f>SUM(OSRRefD21_0x_8)</f>
        <v>5648.57</v>
      </c>
      <c r="M18" s="1">
        <f>SUM(OSRRefD21_0x_9)</f>
        <v>6905.3399999999992</v>
      </c>
      <c r="N18" s="1">
        <f>SUM(OSRRefE21_0x_0)</f>
        <v>3628.1523800000004</v>
      </c>
      <c r="O18" s="1">
        <f>SUM(OSRRefE21_0x_1)</f>
        <v>3628.1523800000004</v>
      </c>
      <c r="Q18" s="2">
        <f>SUM(OSRRefD20_0x)+IFERROR(SUM(OSRRefE20_0x),0)</f>
        <v>67777.344759999993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852.54</v>
      </c>
      <c r="L19" s="2">
        <v>852.54</v>
      </c>
      <c r="M19" s="2">
        <v>1281.68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10116.09676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36.78</v>
      </c>
      <c r="L20" s="2">
        <v>36.78</v>
      </c>
      <c r="M20" s="2">
        <v>36.78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1041.1867999999999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1920.87</v>
      </c>
      <c r="L21" s="2">
        <v>1920.87</v>
      </c>
      <c r="M21" s="2">
        <v>1920.87</v>
      </c>
      <c r="N21" s="2">
        <v>1385</v>
      </c>
      <c r="O21" s="2">
        <v>1385</v>
      </c>
      <c r="P21" s="9"/>
      <c r="Q21" s="2">
        <f>SUM(OSRRefD21_0_2x)+IFERROR(SUM(OSRRefE21_0_2x),0)</f>
        <v>21023.949999999997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28.98</v>
      </c>
      <c r="L22" s="2">
        <v>28.98</v>
      </c>
      <c r="M22" s="2">
        <v>28.98</v>
      </c>
      <c r="N22" s="2">
        <v>15.9796</v>
      </c>
      <c r="O22" s="2">
        <v>15.9796</v>
      </c>
      <c r="P22" s="9"/>
      <c r="Q22" s="2">
        <f>SUM(OSRRefD21_0_3x)+IFERROR(SUM(OSRRefE21_0_3x),0)</f>
        <v>371.92920000000004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1221.05</v>
      </c>
      <c r="L23" s="2">
        <v>1221.05</v>
      </c>
      <c r="M23" s="2">
        <v>1221.05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15539.051999999996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1022.52</v>
      </c>
      <c r="K25" s="2">
        <v>1022.52</v>
      </c>
      <c r="L25" s="2">
        <v>1022.52</v>
      </c>
      <c r="M25" s="2">
        <v>1533.78</v>
      </c>
      <c r="N25" s="2">
        <v>307.3</v>
      </c>
      <c r="O25" s="2">
        <v>307.3</v>
      </c>
      <c r="P25" s="9"/>
      <c r="Q25" s="2">
        <f>SUM(OSRRefD21_0_6x)+IFERROR(SUM(OSRRefE21_0_6x),0)</f>
        <v>12054.460000000003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510.58</v>
      </c>
      <c r="K26" s="2">
        <v>510.58</v>
      </c>
      <c r="L26" s="2">
        <v>510.58</v>
      </c>
      <c r="M26" s="2">
        <v>765.87</v>
      </c>
      <c r="N26" s="2">
        <v>307.3</v>
      </c>
      <c r="O26" s="2">
        <v>307.3</v>
      </c>
      <c r="P26" s="9"/>
      <c r="Q26" s="2">
        <f>SUM(OSRRefD21_0_7x)+IFERROR(SUM(OSRRefE21_0_7x),0)</f>
        <v>6326.92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/>
      <c r="K27" s="2"/>
      <c r="L27" s="2">
        <v>55.25</v>
      </c>
      <c r="M27" s="2">
        <v>116.33</v>
      </c>
      <c r="N27" s="2">
        <v>350</v>
      </c>
      <c r="O27" s="2">
        <v>350</v>
      </c>
      <c r="P27" s="9"/>
      <c r="Q27" s="2">
        <f>SUM(OSRRefD21_0_8x)+IFERROR(SUM(OSRRefE21_0_8x),0)</f>
        <v>1303.75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SUM(OSRRefD21_1x_6)</f>
        <v>13911.28</v>
      </c>
      <c r="K28" s="1">
        <f>SUM(OSRRefD21_1x_7)</f>
        <v>10590.82</v>
      </c>
      <c r="L28" s="1">
        <f>SUM(OSRRefD21_1x_8)</f>
        <v>10037.35</v>
      </c>
      <c r="M28" s="1">
        <f>SUM(OSRRefD21_1x_9)</f>
        <v>13906.92</v>
      </c>
      <c r="N28" s="1">
        <f>SUM(OSRRefE21_1x_0)</f>
        <v>5531.4</v>
      </c>
      <c r="O28" s="1">
        <f>SUM(OSRRefE21_1x_1)</f>
        <v>5531.4</v>
      </c>
      <c r="Q28" s="2">
        <f>SUM(OSRRefD20_1x)+IFERROR(SUM(OSRRefE20_1x),0)</f>
        <v>124573.97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13911.28</v>
      </c>
      <c r="K29" s="2">
        <v>10590.82</v>
      </c>
      <c r="L29" s="2">
        <v>10037.35</v>
      </c>
      <c r="M29" s="2">
        <v>13836.92</v>
      </c>
      <c r="N29" s="2">
        <v>5531.4</v>
      </c>
      <c r="O29" s="2">
        <v>5531.4</v>
      </c>
      <c r="P29" s="9"/>
      <c r="Q29" s="2">
        <f>SUM(OSRRefD21_1_0x)+IFERROR(SUM(OSRRefE21_1_0x),0)</f>
        <v>122118.97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>
        <v>2080</v>
      </c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70</v>
      </c>
      <c r="N32" s="2">
        <v>0</v>
      </c>
      <c r="O32" s="2">
        <v>0</v>
      </c>
      <c r="P32" s="9"/>
      <c r="Q32" s="2">
        <f>SUM(OSRRefD21_1_3x)+IFERROR(SUM(OSRRefE21_1_3x),0)</f>
        <v>70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>
        <v>305</v>
      </c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305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63.55</v>
      </c>
      <c r="N39" s="1">
        <f>SUM(OSRRefE21_2x_0)</f>
        <v>0</v>
      </c>
      <c r="O39" s="1">
        <f>SUM(OSRRefE21_2x_1)</f>
        <v>0</v>
      </c>
      <c r="Q39" s="2">
        <f>SUM(OSRRefD20_2x)+IFERROR(SUM(OSRRefE20_2x),0)</f>
        <v>63.55</v>
      </c>
    </row>
    <row r="40" spans="1:17" s="34" customFormat="1" hidden="1" outlineLevel="1" x14ac:dyDescent="0.25">
      <c r="A40" s="35"/>
      <c r="B40" s="10" t="str">
        <f>CONCATENATE("          ","6362", " - ","ADVERTISING EXPENSE")</f>
        <v xml:space="preserve">          6362 - ADVERTISING EXPENSE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63.55</v>
      </c>
      <c r="N40" s="2">
        <v>0</v>
      </c>
      <c r="O40" s="2">
        <v>0</v>
      </c>
      <c r="P40" s="9"/>
      <c r="Q40" s="2">
        <f>SUM(OSRRefD21_2_0x)+IFERROR(SUM(OSRRefE21_2_0x),0)</f>
        <v>63.55</v>
      </c>
    </row>
    <row r="41" spans="1:17" s="34" customFormat="1" collapsed="1" x14ac:dyDescent="0.25">
      <c r="A41" s="35"/>
      <c r="B41" s="11" t="str">
        <f>CONCATENATE("     ","Bank/card Fees                                    ")</f>
        <v xml:space="preserve">     Bank/card Fees                                    </v>
      </c>
      <c r="C41" s="11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SUM(OSRRefD21_3x_6)</f>
        <v>492.67</v>
      </c>
      <c r="K41" s="1">
        <f>SUM(OSRRefD21_3x_7)</f>
        <v>706.91</v>
      </c>
      <c r="L41" s="1">
        <f>SUM(OSRRefD21_3x_8)</f>
        <v>492.91</v>
      </c>
      <c r="M41" s="1">
        <f>SUM(OSRRefD21_3x_9)</f>
        <v>492.91</v>
      </c>
      <c r="N41" s="1">
        <f>SUM(OSRRefE21_3x_0)</f>
        <v>0</v>
      </c>
      <c r="O41" s="1">
        <f>SUM(OSRRefE21_3x_1)</f>
        <v>0</v>
      </c>
      <c r="Q41" s="2">
        <f>SUM(OSRRefD20_3x)+IFERROR(SUM(OSRRefE20_3x),0)</f>
        <v>4373.3099999999995</v>
      </c>
    </row>
    <row r="42" spans="1:17" s="34" customFormat="1" hidden="1" outlineLevel="1" x14ac:dyDescent="0.25">
      <c r="A42" s="35"/>
      <c r="B42" s="10" t="str">
        <f>CONCATENATE("          ","6381", " - ","BANK/CREDIT CARD FEES")</f>
        <v xml:space="preserve">          6381 - BANK/CREDIT CARD FEES</v>
      </c>
      <c r="C42" s="11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>
        <v>492.67</v>
      </c>
      <c r="K42" s="2">
        <v>706.91</v>
      </c>
      <c r="L42" s="2">
        <v>492.91</v>
      </c>
      <c r="M42" s="2">
        <v>492.91</v>
      </c>
      <c r="N42" s="2"/>
      <c r="O42" s="2"/>
      <c r="P42" s="9"/>
      <c r="Q42" s="2">
        <f>SUM(OSRRefD21_3_0x)+IFERROR(SUM(OSRRefE21_3_0x),0)</f>
        <v>4373.3099999999995</v>
      </c>
    </row>
    <row r="43" spans="1:17" s="34" customFormat="1" collapsed="1" x14ac:dyDescent="0.25">
      <c r="A43" s="35"/>
      <c r="B43" s="11" t="str">
        <f>CONCATENATE("     ","Depreciation                                      ")</f>
        <v xml:space="preserve">     Depreciation                                      </v>
      </c>
      <c r="C43" s="11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SUM(OSRRefD21_4x_6)</f>
        <v>6779.8600000000006</v>
      </c>
      <c r="K43" s="1">
        <f>SUM(OSRRefD21_4x_7)</f>
        <v>6779.8600000000006</v>
      </c>
      <c r="L43" s="1">
        <f>SUM(OSRRefD21_4x_8)</f>
        <v>6779.8600000000006</v>
      </c>
      <c r="M43" s="1">
        <f>SUM(OSRRefD21_4x_9)</f>
        <v>6779.8600000000006</v>
      </c>
      <c r="N43" s="1">
        <f>SUM(OSRRefE21_4x_0)</f>
        <v>6744</v>
      </c>
      <c r="O43" s="1">
        <f>SUM(OSRRefE21_4x_1)</f>
        <v>5296</v>
      </c>
      <c r="Q43" s="2">
        <f>SUM(OSRRefD20_4x)+IFERROR(SUM(OSRRefE20_4x),0)</f>
        <v>80622.790000000008</v>
      </c>
    </row>
    <row r="44" spans="1:17" s="34" customFormat="1" hidden="1" outlineLevel="1" x14ac:dyDescent="0.25">
      <c r="A44" s="35"/>
      <c r="B44" s="10" t="str">
        <f>CONCATENATE("          ","6321", " - ","BUILDING DEPRECIATION")</f>
        <v xml:space="preserve">          6321 - BUILDING DEPRECIATION</v>
      </c>
      <c r="C44" s="11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>
        <v>1822.68</v>
      </c>
      <c r="K44" s="2">
        <v>1822.68</v>
      </c>
      <c r="L44" s="2">
        <v>1822.68</v>
      </c>
      <c r="M44" s="2">
        <v>1822.68</v>
      </c>
      <c r="N44" s="2"/>
      <c r="O44" s="2"/>
      <c r="P44" s="9"/>
      <c r="Q44" s="2">
        <f>SUM(OSRRefD21_4_0x)+IFERROR(SUM(OSRRefE21_4_0x),0)</f>
        <v>19010.990000000002</v>
      </c>
    </row>
    <row r="45" spans="1:17" s="34" customFormat="1" hidden="1" outlineLevel="1" x14ac:dyDescent="0.25">
      <c r="A45" s="35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4957.18</v>
      </c>
      <c r="K45" s="2">
        <v>4957.18</v>
      </c>
      <c r="L45" s="2">
        <v>4957.18</v>
      </c>
      <c r="M45" s="2">
        <v>4957.18</v>
      </c>
      <c r="N45" s="2">
        <v>6744</v>
      </c>
      <c r="O45" s="2">
        <v>5296</v>
      </c>
      <c r="P45" s="9"/>
      <c r="Q45" s="2">
        <f>SUM(OSRRefD21_4_1x)+IFERROR(SUM(OSRRefE21_4_1x),0)</f>
        <v>61611.8</v>
      </c>
    </row>
    <row r="46" spans="1:17" s="34" customFormat="1" collapsed="1" x14ac:dyDescent="0.25">
      <c r="A46" s="35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SUM(OSRRefD21_5x_6)</f>
        <v>91.26</v>
      </c>
      <c r="K46" s="1">
        <f>SUM(OSRRefD21_5x_7)</f>
        <v>0</v>
      </c>
      <c r="L46" s="1">
        <f>SUM(OSRRefD21_5x_8)</f>
        <v>91.26</v>
      </c>
      <c r="M46" s="1">
        <f>SUM(OSRRefD21_5x_9)</f>
        <v>91.26</v>
      </c>
      <c r="N46" s="1">
        <f>SUM(OSRRefE21_5x_0)</f>
        <v>0</v>
      </c>
      <c r="O46" s="1">
        <f>SUM(OSRRefE21_5x_1)</f>
        <v>0</v>
      </c>
      <c r="Q46" s="2">
        <f>SUM(OSRRefD20_5x)+IFERROR(SUM(OSRRefE20_5x),0)</f>
        <v>3110.7500000000009</v>
      </c>
    </row>
    <row r="47" spans="1:17" s="34" customFormat="1" hidden="1" outlineLevel="1" x14ac:dyDescent="0.25">
      <c r="A47" s="35"/>
      <c r="B47" s="10" t="str">
        <f>CONCATENATE("          ","6351", " - ","EQUIPMENT RENTAL")</f>
        <v xml:space="preserve">          6351 - EQUIPMENT RENTAL</v>
      </c>
      <c r="C47" s="11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91.26</v>
      </c>
      <c r="K47" s="2"/>
      <c r="L47" s="2">
        <v>91.26</v>
      </c>
      <c r="M47" s="2">
        <v>91.26</v>
      </c>
      <c r="N47" s="2">
        <v>0</v>
      </c>
      <c r="O47" s="2">
        <v>0</v>
      </c>
      <c r="P47" s="9"/>
      <c r="Q47" s="2">
        <f>SUM(OSRRefD21_5_0x)+IFERROR(SUM(OSRRefE21_5_0x),0)</f>
        <v>3110.7500000000009</v>
      </c>
    </row>
    <row r="48" spans="1:17" s="34" customFormat="1" collapsed="1" x14ac:dyDescent="0.25">
      <c r="A48" s="35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2.96</v>
      </c>
      <c r="N48" s="1">
        <f>SUM(OSRRefE21_6x_0)</f>
        <v>0</v>
      </c>
      <c r="O48" s="1">
        <f>SUM(OSRRefE21_6x_1)</f>
        <v>0</v>
      </c>
      <c r="Q48" s="2">
        <f>SUM(OSRRefD20_6x)+IFERROR(SUM(OSRRefE20_6x),0)</f>
        <v>-2.4500000000000002</v>
      </c>
    </row>
    <row r="49" spans="1:17" s="34" customFormat="1" hidden="1" outlineLevel="1" x14ac:dyDescent="0.25">
      <c r="A49" s="35"/>
      <c r="B49" s="10" t="str">
        <f>CONCATENATE("          ","6307", " - ","POSTAGE")</f>
        <v xml:space="preserve">          6307 - POSTAGE</v>
      </c>
      <c r="C49" s="11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>
        <v>2.96</v>
      </c>
      <c r="N49" s="2"/>
      <c r="O49" s="2"/>
      <c r="P49" s="9"/>
      <c r="Q49" s="2">
        <f>SUM(OSRRefD21_6_0x)+IFERROR(SUM(OSRRefE21_6_0x),0)</f>
        <v>-2.4500000000000002</v>
      </c>
    </row>
    <row r="50" spans="1:17" s="34" customFormat="1" collapsed="1" x14ac:dyDescent="0.25">
      <c r="A50" s="35"/>
      <c r="B50" s="11" t="str">
        <f>CONCATENATE("     ","General                                           ")</f>
        <v xml:space="preserve">     General                                           </v>
      </c>
      <c r="C50" s="11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397</v>
      </c>
      <c r="K50" s="1">
        <f>SUM(OSRRefD21_7x_7)</f>
        <v>119.41</v>
      </c>
      <c r="L50" s="1">
        <f>SUM(OSRRefD21_7x_8)</f>
        <v>0</v>
      </c>
      <c r="M50" s="1">
        <f>SUM(OSRRefD21_7x_9)</f>
        <v>205</v>
      </c>
      <c r="N50" s="1">
        <f>SUM(OSRRefE21_7x_0)</f>
        <v>0</v>
      </c>
      <c r="O50" s="1">
        <f>SUM(OSRRefE21_7x_1)</f>
        <v>0</v>
      </c>
      <c r="Q50" s="2">
        <f>SUM(OSRRefD20_7x)+IFERROR(SUM(OSRRefE20_7x),0)</f>
        <v>721.41</v>
      </c>
    </row>
    <row r="51" spans="1:17" s="34" customFormat="1" hidden="1" outlineLevel="1" x14ac:dyDescent="0.25">
      <c r="A51" s="35"/>
      <c r="B51" s="10" t="str">
        <f>CONCATENATE("          ","6279", " - ","GENERAL EXPENSE")</f>
        <v xml:space="preserve">          6279 - GENERAL EXPENSE</v>
      </c>
      <c r="C51" s="11"/>
      <c r="D51" s="2"/>
      <c r="E51" s="2"/>
      <c r="F51" s="2"/>
      <c r="G51" s="2"/>
      <c r="H51" s="2"/>
      <c r="I51" s="2"/>
      <c r="J51" s="2">
        <v>397</v>
      </c>
      <c r="K51" s="2">
        <v>119.41</v>
      </c>
      <c r="L51" s="2"/>
      <c r="M51" s="2">
        <v>205</v>
      </c>
      <c r="N51" s="2"/>
      <c r="O51" s="2"/>
      <c r="P51" s="9"/>
      <c r="Q51" s="2">
        <f>SUM(OSRRefD21_7_0x)+IFERROR(SUM(OSRRefE21_7_0x),0)</f>
        <v>721.41</v>
      </c>
    </row>
    <row r="52" spans="1:17" s="34" customFormat="1" collapsed="1" x14ac:dyDescent="0.25">
      <c r="A52" s="35"/>
      <c r="B52" s="11" t="str">
        <f>CONCATENATE("     ","Insurance                                         ")</f>
        <v xml:space="preserve">     Insurance                                         </v>
      </c>
      <c r="C52" s="11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SUM(OSRRefD21_8x_6)</f>
        <v>3598.85</v>
      </c>
      <c r="K52" s="1">
        <f>SUM(OSRRefD21_8x_7)</f>
        <v>3598.85</v>
      </c>
      <c r="L52" s="1">
        <f>SUM(OSRRefD21_8x_8)</f>
        <v>3598.85</v>
      </c>
      <c r="M52" s="1">
        <f>SUM(OSRRefD21_8x_9)</f>
        <v>3598.85</v>
      </c>
      <c r="N52" s="1">
        <f>SUM(OSRRefE21_8x_0)</f>
        <v>3860</v>
      </c>
      <c r="O52" s="1">
        <f>SUM(OSRRefE21_8x_1)</f>
        <v>3860</v>
      </c>
      <c r="Q52" s="2">
        <f>SUM(OSRRefD20_8x)+IFERROR(SUM(OSRRefE20_8x),0)</f>
        <v>49820.499999999993</v>
      </c>
    </row>
    <row r="53" spans="1:17" s="34" customFormat="1" hidden="1" outlineLevel="1" x14ac:dyDescent="0.25">
      <c r="A53" s="35"/>
      <c r="B53" s="10" t="str">
        <f>CONCATENATE("          ","6314", " - ","LIABILITY INSURANCE")</f>
        <v xml:space="preserve">          6314 - LIABILITY INSURANCE</v>
      </c>
      <c r="C53" s="11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3598.85</v>
      </c>
      <c r="K53" s="2">
        <v>3598.85</v>
      </c>
      <c r="L53" s="2">
        <v>3598.85</v>
      </c>
      <c r="M53" s="2">
        <v>3598.85</v>
      </c>
      <c r="N53" s="2">
        <v>3860</v>
      </c>
      <c r="O53" s="2">
        <v>3860</v>
      </c>
      <c r="P53" s="9"/>
      <c r="Q53" s="2">
        <f>SUM(OSRRefD21_8_0x)+IFERROR(SUM(OSRRefE21_8_0x),0)</f>
        <v>49820.499999999993</v>
      </c>
    </row>
    <row r="54" spans="1:17" s="34" customFormat="1" collapsed="1" x14ac:dyDescent="0.25">
      <c r="A54" s="35"/>
      <c r="B54" s="11" t="str">
        <f>CONCATENATE("     ","Repair and Maintenance                            ")</f>
        <v xml:space="preserve">     Repair and Maintenance                            </v>
      </c>
      <c r="C54" s="11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SUM(OSRRefD21_9x_6)</f>
        <v>38.1</v>
      </c>
      <c r="K54" s="1">
        <f>SUM(OSRRefD21_9x_7)</f>
        <v>1721.13</v>
      </c>
      <c r="L54" s="1">
        <f>SUM(OSRRefD21_9x_8)</f>
        <v>3575.48</v>
      </c>
      <c r="M54" s="1">
        <f>SUM(OSRRefD21_9x_9)</f>
        <v>72</v>
      </c>
      <c r="N54" s="1">
        <f>SUM(OSRRefE21_9x_0)</f>
        <v>0</v>
      </c>
      <c r="O54" s="1">
        <f>SUM(OSRRefE21_9x_1)</f>
        <v>0</v>
      </c>
      <c r="Q54" s="2">
        <f>SUM(OSRRefD20_9x)+IFERROR(SUM(OSRRefE20_9x),0)</f>
        <v>8313.84</v>
      </c>
    </row>
    <row r="55" spans="1:17" s="34" customFormat="1" hidden="1" outlineLevel="1" x14ac:dyDescent="0.25">
      <c r="A55" s="35"/>
      <c r="B55" s="10" t="str">
        <f>CONCATENATE("          ","6371", " - ","COMPUTER SOFTWARE MAINTENANCE")</f>
        <v xml:space="preserve">          6371 - COMPUTER SOFTWARE MAINTENANCE</v>
      </c>
      <c r="C55" s="11"/>
      <c r="D55" s="2"/>
      <c r="E55" s="2"/>
      <c r="F55" s="2"/>
      <c r="G55" s="2"/>
      <c r="H55" s="2"/>
      <c r="I55" s="2"/>
      <c r="J55" s="2"/>
      <c r="K55" s="2">
        <v>702.27</v>
      </c>
      <c r="L55" s="2"/>
      <c r="M55" s="2"/>
      <c r="N55" s="2"/>
      <c r="O55" s="2"/>
      <c r="P55" s="9"/>
      <c r="Q55" s="2">
        <f>SUM(OSRRefD21_9_0x)+IFERROR(SUM(OSRRefE21_9_0x),0)</f>
        <v>702.27</v>
      </c>
    </row>
    <row r="56" spans="1:17" s="34" customFormat="1" hidden="1" outlineLevel="1" x14ac:dyDescent="0.25">
      <c r="A56" s="35"/>
      <c r="B56" s="10" t="str">
        <f>CONCATENATE("          ","6372", " - ","COMPUTER HARDWARE MAINTENANCE")</f>
        <v xml:space="preserve">          6372 - COMPUTER HARDWARE MAINTENANCE</v>
      </c>
      <c r="C56" s="11"/>
      <c r="D56" s="2"/>
      <c r="E56" s="2"/>
      <c r="F56" s="2"/>
      <c r="G56" s="2"/>
      <c r="H56" s="2"/>
      <c r="I56" s="2"/>
      <c r="J56" s="2"/>
      <c r="K56" s="2"/>
      <c r="L56" s="2">
        <v>100</v>
      </c>
      <c r="M56" s="2"/>
      <c r="N56" s="2"/>
      <c r="O56" s="2"/>
      <c r="P56" s="9"/>
      <c r="Q56" s="2">
        <f>SUM(OSRRefD21_9_1x)+IFERROR(SUM(OSRRefE21_9_1x),0)</f>
        <v>100</v>
      </c>
    </row>
    <row r="57" spans="1:17" s="34" customFormat="1" hidden="1" outlineLevel="1" x14ac:dyDescent="0.25">
      <c r="A57" s="35"/>
      <c r="B57" s="10" t="str">
        <f>CONCATENATE("          ","6373", " - ","MAINTENANCE CONTRACTS")</f>
        <v xml:space="preserve">          6373 - MAINTENANCE CONTRACTS</v>
      </c>
      <c r="C57" s="11"/>
      <c r="D57" s="2">
        <v>1.05</v>
      </c>
      <c r="E57" s="2">
        <v>704.86</v>
      </c>
      <c r="F57" s="2">
        <v>85.95</v>
      </c>
      <c r="G57" s="2">
        <v>0.03</v>
      </c>
      <c r="H57" s="2">
        <v>900.01</v>
      </c>
      <c r="I57" s="2">
        <v>439.3</v>
      </c>
      <c r="J57" s="2"/>
      <c r="K57" s="2"/>
      <c r="L57" s="2">
        <v>84.41</v>
      </c>
      <c r="M57" s="2"/>
      <c r="N57" s="2">
        <v>0</v>
      </c>
      <c r="O57" s="2">
        <v>0</v>
      </c>
      <c r="P57" s="9"/>
      <c r="Q57" s="2">
        <f>SUM(OSRRefD21_9_2x)+IFERROR(SUM(OSRRefE21_9_2x),0)</f>
        <v>2215.61</v>
      </c>
    </row>
    <row r="58" spans="1:17" s="34" customFormat="1" hidden="1" outlineLevel="1" x14ac:dyDescent="0.25">
      <c r="A58" s="35"/>
      <c r="B58" s="10" t="str">
        <f>CONCATENATE("          ","6375", " - ","OUTSIDE REPAIRS &amp; MAINTENANCE")</f>
        <v xml:space="preserve">          6375 - OUTSIDE REPAIRS &amp; MAINTENANCE</v>
      </c>
      <c r="C58" s="11"/>
      <c r="D58" s="2">
        <v>37.46</v>
      </c>
      <c r="E58" s="2"/>
      <c r="F58" s="2"/>
      <c r="G58" s="2"/>
      <c r="H58" s="2">
        <v>575</v>
      </c>
      <c r="I58" s="2">
        <v>163.47</v>
      </c>
      <c r="J58" s="2">
        <v>38.1</v>
      </c>
      <c r="K58" s="2">
        <v>1018.86</v>
      </c>
      <c r="L58" s="2">
        <v>3391.07</v>
      </c>
      <c r="M58" s="2">
        <v>72</v>
      </c>
      <c r="N58" s="2">
        <v>0</v>
      </c>
      <c r="O58" s="2">
        <v>0</v>
      </c>
      <c r="P58" s="9"/>
      <c r="Q58" s="2">
        <f>SUM(OSRRefD21_9_3x)+IFERROR(SUM(OSRRefE21_9_3x),0)</f>
        <v>5295.96</v>
      </c>
    </row>
    <row r="59" spans="1:17" s="34" customFormat="1" collapsed="1" x14ac:dyDescent="0.25">
      <c r="A59" s="35"/>
      <c r="B59" s="11" t="str">
        <f>CONCATENATE("     ","Services                                          ")</f>
        <v xml:space="preserve">     Services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4254</v>
      </c>
      <c r="H59" s="1">
        <f>SUM(OSRRefD21_10x_4)</f>
        <v>4254</v>
      </c>
      <c r="I59" s="1">
        <f>SUM(OSRRefD21_10x_5)</f>
        <v>6759.04</v>
      </c>
      <c r="J59" s="1">
        <f>SUM(OSRRefD21_10x_6)</f>
        <v>4880.26</v>
      </c>
      <c r="K59" s="1">
        <f>SUM(OSRRefD21_10x_7)</f>
        <v>4880.26</v>
      </c>
      <c r="L59" s="1">
        <f>SUM(OSRRefD21_10x_8)</f>
        <v>-2899.48</v>
      </c>
      <c r="M59" s="1">
        <f>SUM(OSRRefD21_10x_9)</f>
        <v>4924.1000000000004</v>
      </c>
      <c r="N59" s="1">
        <f>SUM(OSRRefE21_10x_0)</f>
        <v>3126</v>
      </c>
      <c r="O59" s="1">
        <f>SUM(OSRRefE21_10x_1)</f>
        <v>3753</v>
      </c>
      <c r="Q59" s="2">
        <f>SUM(OSRRefD20_10x)+IFERROR(SUM(OSRRefE20_10x),0)</f>
        <v>33931.180000000008</v>
      </c>
    </row>
    <row r="60" spans="1:17" s="34" customFormat="1" hidden="1" outlineLevel="1" x14ac:dyDescent="0.25">
      <c r="A60" s="35"/>
      <c r="B60" s="10" t="str">
        <f>CONCATENATE("          ","6282", " - ","JANITORIAL/EXTERMINATOR EXPENS")</f>
        <v xml:space="preserve">          6282 - JANITORIAL/EXTERMINATOR EXPENS</v>
      </c>
      <c r="C60" s="11"/>
      <c r="D60" s="2"/>
      <c r="E60" s="2"/>
      <c r="F60" s="2"/>
      <c r="G60" s="2"/>
      <c r="H60" s="2"/>
      <c r="I60" s="2">
        <v>2505.04</v>
      </c>
      <c r="J60" s="2">
        <v>626.26</v>
      </c>
      <c r="K60" s="2">
        <v>626.26</v>
      </c>
      <c r="L60" s="2">
        <v>1252.52</v>
      </c>
      <c r="M60" s="2">
        <v>670.1</v>
      </c>
      <c r="N60" s="2">
        <v>626</v>
      </c>
      <c r="O60" s="2">
        <v>1253</v>
      </c>
      <c r="P60" s="9"/>
      <c r="Q60" s="2">
        <f>SUM(OSRRefD21_10_0x)+IFERROR(SUM(OSRRefE21_10_0x),0)</f>
        <v>7559.18</v>
      </c>
    </row>
    <row r="61" spans="1:17" s="34" customFormat="1" hidden="1" outlineLevel="1" x14ac:dyDescent="0.25">
      <c r="A61" s="35"/>
      <c r="B61" s="10" t="str">
        <f>CONCATENATE("          ","6283", " - ","PLANT SERVICE")</f>
        <v xml:space="preserve">          6283 - PLANT SERVICE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>
        <v>0</v>
      </c>
      <c r="O61" s="2">
        <v>0</v>
      </c>
      <c r="P61" s="9"/>
      <c r="Q61" s="2">
        <f>SUM(OSRRefD21_10_1x)+IFERROR(SUM(OSRRefE21_10_1x),0)</f>
        <v>0</v>
      </c>
    </row>
    <row r="62" spans="1:17" s="34" customFormat="1" hidden="1" outlineLevel="1" x14ac:dyDescent="0.25">
      <c r="A62" s="35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>
        <v>4254</v>
      </c>
      <c r="H62" s="2">
        <v>4254</v>
      </c>
      <c r="I62" s="2">
        <v>4254</v>
      </c>
      <c r="J62" s="2">
        <v>4254</v>
      </c>
      <c r="K62" s="2">
        <v>4254</v>
      </c>
      <c r="L62" s="2">
        <v>-4152</v>
      </c>
      <c r="M62" s="2">
        <v>4254</v>
      </c>
      <c r="N62" s="2">
        <v>2500</v>
      </c>
      <c r="O62" s="2">
        <v>2500</v>
      </c>
      <c r="P62" s="9"/>
      <c r="Q62" s="2">
        <f>SUM(OSRRefD21_10_2x)+IFERROR(SUM(OSRRefE21_10_2x),0)</f>
        <v>26372</v>
      </c>
    </row>
    <row r="63" spans="1:17" s="34" customFormat="1" hidden="1" outlineLevel="1" x14ac:dyDescent="0.25">
      <c r="A63" s="35"/>
      <c r="B63" s="10" t="str">
        <f>CONCATENATE("          ","6285", " - ","JANITORIAL SERVICES")</f>
        <v xml:space="preserve">          6285 - JANITORIAL SERVICES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>
        <v>0</v>
      </c>
      <c r="O63" s="2">
        <v>0</v>
      </c>
      <c r="P63" s="9"/>
      <c r="Q63" s="2">
        <f>SUM(OSRRefD21_10_3x)+IFERROR(SUM(OSRRefE21_10_3x),0)</f>
        <v>0</v>
      </c>
    </row>
    <row r="64" spans="1:17" s="34" customFormat="1" collapsed="1" x14ac:dyDescent="0.25">
      <c r="A64" s="35"/>
      <c r="B64" s="11" t="str">
        <f>CONCATENATE("     ","Subscriptions &amp; Dues                              ")</f>
        <v xml:space="preserve">     Subscriptions &amp; Dues                              </v>
      </c>
      <c r="C64" s="11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SUM(OSRRefD21_11x_3)</f>
        <v>0</v>
      </c>
      <c r="H64" s="1">
        <f>SUM(OSRRefD21_11x_4)</f>
        <v>0</v>
      </c>
      <c r="I64" s="1">
        <f>SUM(OSRRefD21_11x_5)</f>
        <v>0</v>
      </c>
      <c r="J64" s="1">
        <f>SUM(OSRRefD21_11x_6)</f>
        <v>0</v>
      </c>
      <c r="K64" s="1">
        <f>SUM(OSRRefD21_11x_7)</f>
        <v>0</v>
      </c>
      <c r="L64" s="1">
        <f>SUM(OSRRefD21_11x_8)</f>
        <v>119.07</v>
      </c>
      <c r="M64" s="1">
        <f>SUM(OSRRefD21_11x_9)</f>
        <v>0</v>
      </c>
      <c r="N64" s="1">
        <f>SUM(OSRRefE21_11x_0)</f>
        <v>0</v>
      </c>
      <c r="O64" s="1">
        <f>SUM(OSRRefE21_11x_1)</f>
        <v>0</v>
      </c>
      <c r="Q64" s="2">
        <f>SUM(OSRRefD20_11x)+IFERROR(SUM(OSRRefE20_11x),0)</f>
        <v>119.07</v>
      </c>
    </row>
    <row r="65" spans="1:17" s="34" customFormat="1" hidden="1" outlineLevel="1" x14ac:dyDescent="0.25">
      <c r="A65" s="35"/>
      <c r="B65" s="10" t="str">
        <f>CONCATENATE("          ","6275", " - ","SUBSCRIPTIONS")</f>
        <v xml:space="preserve">          6275 - SUBSCRIPTIONS</v>
      </c>
      <c r="C65" s="11"/>
      <c r="D65" s="2"/>
      <c r="E65" s="2"/>
      <c r="F65" s="2"/>
      <c r="G65" s="2"/>
      <c r="H65" s="2"/>
      <c r="I65" s="2"/>
      <c r="J65" s="2"/>
      <c r="K65" s="2"/>
      <c r="L65" s="2">
        <v>119.07</v>
      </c>
      <c r="M65" s="2"/>
      <c r="N65" s="2"/>
      <c r="O65" s="2"/>
      <c r="P65" s="9"/>
      <c r="Q65" s="2">
        <f>SUM(OSRRefD21_11_0x)+IFERROR(SUM(OSRRefE21_11_0x),0)</f>
        <v>119.07</v>
      </c>
    </row>
    <row r="66" spans="1:17" s="34" customFormat="1" collapsed="1" x14ac:dyDescent="0.25">
      <c r="A66" s="35"/>
      <c r="B66" s="11" t="str">
        <f>CONCATENATE("     ","Supplies                                          ")</f>
        <v xml:space="preserve">     Supplies                                          </v>
      </c>
      <c r="C66" s="11"/>
      <c r="D66" s="1">
        <f>SUM(OSRRefD21_12x_0)</f>
        <v>0</v>
      </c>
      <c r="E66" s="1">
        <f>SUM(OSRRefD21_12x_1)</f>
        <v>-29200.77</v>
      </c>
      <c r="F66" s="1">
        <f>SUM(OSRRefD21_12x_2)</f>
        <v>127.89</v>
      </c>
      <c r="G66" s="1">
        <f>SUM(OSRRefD21_12x_3)</f>
        <v>0</v>
      </c>
      <c r="H66" s="1">
        <f>SUM(OSRRefD21_12x_4)</f>
        <v>0</v>
      </c>
      <c r="I66" s="1">
        <f>SUM(OSRRefD21_12x_5)</f>
        <v>0</v>
      </c>
      <c r="J66" s="1">
        <f>SUM(OSRRefD21_12x_6)</f>
        <v>0</v>
      </c>
      <c r="K66" s="1">
        <f>SUM(OSRRefD21_12x_7)</f>
        <v>0</v>
      </c>
      <c r="L66" s="1">
        <f>SUM(OSRRefD21_12x_8)</f>
        <v>0</v>
      </c>
      <c r="M66" s="1">
        <f>SUM(OSRRefD21_12x_9)</f>
        <v>0</v>
      </c>
      <c r="N66" s="1">
        <f>SUM(OSRRefE21_12x_0)</f>
        <v>0</v>
      </c>
      <c r="O66" s="1">
        <f>SUM(OSRRefE21_12x_1)</f>
        <v>0</v>
      </c>
      <c r="Q66" s="2">
        <f>SUM(OSRRefD20_12x)+IFERROR(SUM(OSRRefE20_12x),0)</f>
        <v>-29072.880000000001</v>
      </c>
    </row>
    <row r="67" spans="1:17" s="34" customFormat="1" hidden="1" outlineLevel="1" x14ac:dyDescent="0.25">
      <c r="A67" s="35"/>
      <c r="B67" s="10" t="str">
        <f>CONCATENATE("          ","6235", " - ","COVID-19 EXPENSES")</f>
        <v xml:space="preserve">          6235 - COVID-19 EXPENSES</v>
      </c>
      <c r="C67" s="11"/>
      <c r="D67" s="2"/>
      <c r="E67" s="2"/>
      <c r="F67" s="2">
        <v>127.89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SUM(OSRRefD21_12_0x)+IFERROR(SUM(OSRRefE21_12_0x),0)</f>
        <v>127.89</v>
      </c>
    </row>
    <row r="68" spans="1:17" s="34" customFormat="1" hidden="1" outlineLevel="1" x14ac:dyDescent="0.25">
      <c r="A68" s="35"/>
      <c r="B68" s="10" t="str">
        <f>CONCATENATE("          ","6237", " - ","JANITORIAL SUPPLIES")</f>
        <v xml:space="preserve">          6237 - JANITORIAL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SUM(OSRRefD21_12_1x)+IFERROR(SUM(OSRRefE21_12_1x),0)</f>
        <v>0</v>
      </c>
    </row>
    <row r="69" spans="1:17" s="34" customFormat="1" hidden="1" outlineLevel="1" x14ac:dyDescent="0.25">
      <c r="A69" s="35"/>
      <c r="B69" s="10" t="str">
        <f>CONCATENATE("          ","6239", " - ","KITCHEN SUPPLIES")</f>
        <v xml:space="preserve">          6239 - KITCHEN SUPPLIES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0</v>
      </c>
      <c r="O69" s="2">
        <v>0</v>
      </c>
      <c r="P69" s="9"/>
      <c r="Q69" s="2">
        <f>SUM(OSRRefD21_12_2x)+IFERROR(SUM(OSRRefE21_12_2x),0)</f>
        <v>0</v>
      </c>
    </row>
    <row r="70" spans="1:17" s="34" customFormat="1" hidden="1" outlineLevel="1" x14ac:dyDescent="0.25">
      <c r="A70" s="35"/>
      <c r="B70" s="10" t="str">
        <f>CONCATENATE("          ","6241", " - ","OFFICE EXPENSE")</f>
        <v xml:space="preserve">          6241 - OFFICE EXPENSE</v>
      </c>
      <c r="C70" s="11"/>
      <c r="D70" s="2"/>
      <c r="E70" s="2">
        <v>-29200.77</v>
      </c>
      <c r="F70" s="2"/>
      <c r="G70" s="2"/>
      <c r="H70" s="2"/>
      <c r="I70" s="2"/>
      <c r="J70" s="2"/>
      <c r="K70" s="2"/>
      <c r="L70" s="2"/>
      <c r="M70" s="2"/>
      <c r="N70" s="2">
        <v>0</v>
      </c>
      <c r="O70" s="2">
        <v>0</v>
      </c>
      <c r="P70" s="9"/>
      <c r="Q70" s="2">
        <f>SUM(OSRRefD21_12_3x)+IFERROR(SUM(OSRRefE21_12_3x),0)</f>
        <v>-29200.77</v>
      </c>
    </row>
    <row r="71" spans="1:17" s="34" customFormat="1" hidden="1" outlineLevel="1" x14ac:dyDescent="0.25">
      <c r="A71" s="35"/>
      <c r="B71" s="10" t="str">
        <f>CONCATENATE("          ","6246", " - ","REPLACEMENTS")</f>
        <v xml:space="preserve">          6246 - REPLACEMENTS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SUM(OSRRefD21_12_4x)+IFERROR(SUM(OSRRefE21_12_4x),0)</f>
        <v>0</v>
      </c>
    </row>
    <row r="72" spans="1:17" s="34" customFormat="1" hidden="1" outlineLevel="1" x14ac:dyDescent="0.25">
      <c r="A72" s="35"/>
      <c r="B72" s="10" t="str">
        <f>CONCATENATE("          ","6247", " - ","STORE SUPPLIES")</f>
        <v xml:space="preserve">          6247 - STORE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SUM(OSRRefD21_12_5x)+IFERROR(SUM(OSRRefE21_12_5x),0)</f>
        <v>0</v>
      </c>
    </row>
    <row r="73" spans="1:17" s="34" customFormat="1" collapsed="1" x14ac:dyDescent="0.25">
      <c r="A73" s="35"/>
      <c r="B73" s="11" t="str">
        <f>CONCATENATE("     ","Telephone/Data Lines                              ")</f>
        <v xml:space="preserve">     Telephone/Data Lines                              </v>
      </c>
      <c r="C73" s="11"/>
      <c r="D73" s="1">
        <f>SUM(OSRRefD21_13x_0)</f>
        <v>426</v>
      </c>
      <c r="E73" s="1">
        <f>SUM(OSRRefD21_13x_1)</f>
        <v>353.3</v>
      </c>
      <c r="F73" s="1">
        <f>SUM(OSRRefD21_13x_2)</f>
        <v>100</v>
      </c>
      <c r="G73" s="1">
        <f>SUM(OSRRefD21_13x_3)</f>
        <v>221.03</v>
      </c>
      <c r="H73" s="1">
        <f>SUM(OSRRefD21_13x_4)</f>
        <v>143.1</v>
      </c>
      <c r="I73" s="1">
        <f>SUM(OSRRefD21_13x_5)</f>
        <v>143.1</v>
      </c>
      <c r="J73" s="1">
        <f>SUM(OSRRefD21_13x_6)</f>
        <v>93</v>
      </c>
      <c r="K73" s="1">
        <f>SUM(OSRRefD21_13x_7)</f>
        <v>93.1</v>
      </c>
      <c r="L73" s="1">
        <f>SUM(OSRRefD21_13x_8)</f>
        <v>96</v>
      </c>
      <c r="M73" s="1">
        <f>SUM(OSRRefD21_13x_9)</f>
        <v>94.6</v>
      </c>
      <c r="N73" s="1">
        <f>SUM(OSRRefE21_13x_0)</f>
        <v>50</v>
      </c>
      <c r="O73" s="1">
        <f>SUM(OSRRefE21_13x_1)</f>
        <v>50</v>
      </c>
      <c r="Q73" s="2">
        <f>SUM(OSRRefD20_13x)+IFERROR(SUM(OSRRefE20_13x),0)</f>
        <v>1863.2299999999996</v>
      </c>
    </row>
    <row r="74" spans="1:17" s="34" customFormat="1" hidden="1" outlineLevel="1" x14ac:dyDescent="0.25">
      <c r="A74" s="35"/>
      <c r="B74" s="10" t="str">
        <f>CONCATENATE("          ","6309", " - ","TELEPHONE")</f>
        <v xml:space="preserve">          6309 - TELEPHONE</v>
      </c>
      <c r="C74" s="11"/>
      <c r="D74" s="2">
        <v>426</v>
      </c>
      <c r="E74" s="2">
        <v>353.3</v>
      </c>
      <c r="F74" s="2">
        <v>100</v>
      </c>
      <c r="G74" s="2">
        <v>221.03</v>
      </c>
      <c r="H74" s="2">
        <v>143.1</v>
      </c>
      <c r="I74" s="2">
        <v>143.1</v>
      </c>
      <c r="J74" s="2">
        <v>93</v>
      </c>
      <c r="K74" s="2">
        <v>93.1</v>
      </c>
      <c r="L74" s="2">
        <v>96</v>
      </c>
      <c r="M74" s="2">
        <v>94.6</v>
      </c>
      <c r="N74" s="2">
        <v>50</v>
      </c>
      <c r="O74" s="2">
        <v>50</v>
      </c>
      <c r="P74" s="9"/>
      <c r="Q74" s="2">
        <f>SUM(OSRRefD21_13_0x)+IFERROR(SUM(OSRRefE21_13_0x),0)</f>
        <v>1863.2299999999996</v>
      </c>
    </row>
    <row r="75" spans="1:17" s="34" customFormat="1" collapsed="1" x14ac:dyDescent="0.25">
      <c r="A75" s="35"/>
      <c r="B75" s="11" t="str">
        <f>CONCATENATE("     ","Travel                                            ")</f>
        <v xml:space="preserve">     Travel                                            </v>
      </c>
      <c r="C75" s="11"/>
      <c r="D75" s="1">
        <f>SUM(OSRRefD21_14x_0)</f>
        <v>179.69</v>
      </c>
      <c r="E75" s="1">
        <f>SUM(OSRRefD21_14x_1)</f>
        <v>0</v>
      </c>
      <c r="F75" s="1">
        <f>SUM(OSRRefD21_14x_2)</f>
        <v>152.52000000000001</v>
      </c>
      <c r="G75" s="1">
        <f>SUM(OSRRefD21_14x_3)</f>
        <v>0</v>
      </c>
      <c r="H75" s="1">
        <f>SUM(OSRRefD21_14x_4)</f>
        <v>0</v>
      </c>
      <c r="I75" s="1">
        <f>SUM(OSRRefD21_14x_5)</f>
        <v>0</v>
      </c>
      <c r="J75" s="1">
        <f>SUM(OSRRefD21_14x_6)</f>
        <v>0</v>
      </c>
      <c r="K75" s="1">
        <f>SUM(OSRRefD21_14x_7)</f>
        <v>0</v>
      </c>
      <c r="L75" s="1">
        <f>SUM(OSRRefD21_14x_8)</f>
        <v>0</v>
      </c>
      <c r="M75" s="1">
        <f>SUM(OSRRefD21_14x_9)</f>
        <v>0</v>
      </c>
      <c r="N75" s="1">
        <f>SUM(OSRRefE21_14x_0)</f>
        <v>0</v>
      </c>
      <c r="O75" s="1">
        <f>SUM(OSRRefE21_14x_1)</f>
        <v>0</v>
      </c>
      <c r="Q75" s="2">
        <f>SUM(OSRRefD20_14x)+IFERROR(SUM(OSRRefE20_14x),0)</f>
        <v>332.21000000000004</v>
      </c>
    </row>
    <row r="76" spans="1:17" s="34" customFormat="1" hidden="1" outlineLevel="1" x14ac:dyDescent="0.25">
      <c r="A76" s="35"/>
      <c r="B76" s="10" t="str">
        <f>CONCATENATE("          ","6298", " - ","VEHICLE MILEAGE")</f>
        <v xml:space="preserve">          6298 - VEHICLE MILEAGE</v>
      </c>
      <c r="C76" s="11"/>
      <c r="D76" s="2">
        <v>179.69</v>
      </c>
      <c r="E76" s="2"/>
      <c r="F76" s="2">
        <v>152.52000000000001</v>
      </c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332.21000000000004</v>
      </c>
    </row>
    <row r="77" spans="1:17" s="34" customFormat="1" collapsed="1" x14ac:dyDescent="0.25">
      <c r="A77" s="35"/>
      <c r="B77" s="11" t="str">
        <f>CONCATENATE("     ","Utilities                                         ")</f>
        <v xml:space="preserve">     Utilities                                         </v>
      </c>
      <c r="C77" s="11"/>
      <c r="D77" s="1">
        <f>SUM(OSRRefD21_15x_0)</f>
        <v>0</v>
      </c>
      <c r="E77" s="1">
        <f>SUM(OSRRefD21_15x_1)</f>
        <v>0</v>
      </c>
      <c r="F77" s="1">
        <f>SUM(OSRRefD21_15x_2)</f>
        <v>0</v>
      </c>
      <c r="G77" s="1">
        <f>SUM(OSRRefD21_15x_3)</f>
        <v>-15876</v>
      </c>
      <c r="H77" s="1">
        <f>SUM(OSRRefD21_15x_4)</f>
        <v>1000</v>
      </c>
      <c r="I77" s="1">
        <f>SUM(OSRRefD21_15x_5)</f>
        <v>1000</v>
      </c>
      <c r="J77" s="1">
        <f>SUM(OSRRefD21_15x_6)</f>
        <v>1000</v>
      </c>
      <c r="K77" s="1">
        <f>SUM(OSRRefD21_15x_7)</f>
        <v>1000</v>
      </c>
      <c r="L77" s="1">
        <f>SUM(OSRRefD21_15x_8)</f>
        <v>837</v>
      </c>
      <c r="M77" s="1">
        <f>SUM(OSRRefD21_15x_9)</f>
        <v>1000</v>
      </c>
      <c r="N77" s="1">
        <f>SUM(OSRRefE21_15x_0)</f>
        <v>1000</v>
      </c>
      <c r="O77" s="1">
        <f>SUM(OSRRefE21_15x_1)</f>
        <v>1000</v>
      </c>
      <c r="Q77" s="2">
        <f>SUM(OSRRefD20_15x)+IFERROR(SUM(OSRRefE20_15x),0)</f>
        <v>-8039</v>
      </c>
    </row>
    <row r="78" spans="1:17" s="34" customFormat="1" hidden="1" outlineLevel="1" x14ac:dyDescent="0.25">
      <c r="A78" s="35"/>
      <c r="B78" s="10" t="str">
        <f>CONCATENATE("          ","6274", " - ","UTILITIES")</f>
        <v xml:space="preserve">          6274 - UTILITIES</v>
      </c>
      <c r="C78" s="11"/>
      <c r="D78" s="2"/>
      <c r="E78" s="2"/>
      <c r="F78" s="2"/>
      <c r="G78" s="2">
        <v>-15876</v>
      </c>
      <c r="H78" s="2">
        <v>1000</v>
      </c>
      <c r="I78" s="2">
        <v>1000</v>
      </c>
      <c r="J78" s="2">
        <v>1000</v>
      </c>
      <c r="K78" s="2">
        <v>1000</v>
      </c>
      <c r="L78" s="2">
        <v>837</v>
      </c>
      <c r="M78" s="2">
        <v>1000</v>
      </c>
      <c r="N78" s="2">
        <v>1000</v>
      </c>
      <c r="O78" s="2">
        <v>1000</v>
      </c>
      <c r="P78" s="9"/>
      <c r="Q78" s="2">
        <f>SUM(OSRRefD21_15_0x)+IFERROR(SUM(OSRRefE21_15_0x),0)</f>
        <v>-8039</v>
      </c>
    </row>
    <row r="79" spans="1:17" s="30" customFormat="1" x14ac:dyDescent="0.2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25">
      <c r="A80" s="23"/>
      <c r="B80" s="16" t="s">
        <v>291</v>
      </c>
      <c r="C80" s="22"/>
      <c r="D80" s="3">
        <f>--512.41</f>
        <v>512.41</v>
      </c>
      <c r="E80" s="3">
        <f>--626.43</f>
        <v>626.42999999999995</v>
      </c>
      <c r="F80" s="3">
        <f>--180.85</f>
        <v>180.85</v>
      </c>
      <c r="G80" s="3">
        <f>--119.09</f>
        <v>119.09</v>
      </c>
      <c r="H80" s="3">
        <f>0</f>
        <v>0</v>
      </c>
      <c r="I80" s="3">
        <f>--804.28</f>
        <v>804.28</v>
      </c>
      <c r="J80" s="3">
        <f>--189.92</f>
        <v>189.92</v>
      </c>
      <c r="K80" s="3">
        <f>0</f>
        <v>0</v>
      </c>
      <c r="L80" s="3">
        <f>--3116.44</f>
        <v>3116.44</v>
      </c>
      <c r="M80" s="3">
        <f>--496.99</f>
        <v>496.99</v>
      </c>
      <c r="N80" s="3">
        <v>0</v>
      </c>
      <c r="O80" s="3">
        <v>12000</v>
      </c>
      <c r="Q80" s="2">
        <f>SUM(OSRRefD23_0x)+IFERROR(SUM(OSRRefE23_0x),0)</f>
        <v>18046.41</v>
      </c>
    </row>
    <row r="81" spans="1:17" x14ac:dyDescent="0.2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25">
      <c r="A82" s="6"/>
      <c r="B82" s="17" t="s">
        <v>274</v>
      </c>
      <c r="C82" s="17"/>
      <c r="D82" s="8">
        <f t="shared" ref="D82:O82" si="4">IFERROR(+D14-D17+D80, 0)</f>
        <v>-30139.8</v>
      </c>
      <c r="E82" s="8">
        <f t="shared" si="4"/>
        <v>956.43000000000279</v>
      </c>
      <c r="F82" s="8">
        <f t="shared" si="4"/>
        <v>-28249.09</v>
      </c>
      <c r="G82" s="8">
        <f t="shared" si="4"/>
        <v>-25260.479999999992</v>
      </c>
      <c r="H82" s="8">
        <f t="shared" si="4"/>
        <v>-35067.669999999991</v>
      </c>
      <c r="I82" s="8">
        <f t="shared" si="4"/>
        <v>-32392.589999999997</v>
      </c>
      <c r="J82" s="8">
        <f t="shared" si="4"/>
        <v>-37266.659999999996</v>
      </c>
      <c r="K82" s="8">
        <f t="shared" si="4"/>
        <v>-35083.659999999996</v>
      </c>
      <c r="L82" s="8">
        <f t="shared" si="4"/>
        <v>-25260.43</v>
      </c>
      <c r="M82" s="8">
        <f t="shared" si="4"/>
        <v>-37640.359999999993</v>
      </c>
      <c r="N82" s="8">
        <f t="shared" si="4"/>
        <v>-23939.552380000001</v>
      </c>
      <c r="O82" s="8">
        <f t="shared" si="4"/>
        <v>-11118.552380000001</v>
      </c>
      <c r="Q82" s="8">
        <f>IFERROR(+Q14-Q17+Q80, 0)</f>
        <v>-320462.41476000001</v>
      </c>
    </row>
    <row r="83" spans="1:17" s="6" customFormat="1" x14ac:dyDescent="0.25">
      <c r="B83" s="16"/>
      <c r="C83" s="16"/>
      <c r="D83" s="4">
        <f t="shared" ref="D83:O83" si="5">IFERROR(D82/D10, 0)</f>
        <v>0</v>
      </c>
      <c r="E83" s="4">
        <f t="shared" si="5"/>
        <v>0</v>
      </c>
      <c r="F83" s="4">
        <f t="shared" si="5"/>
        <v>0</v>
      </c>
      <c r="G83" s="4">
        <f t="shared" si="5"/>
        <v>0</v>
      </c>
      <c r="H83" s="4">
        <f t="shared" si="5"/>
        <v>0</v>
      </c>
      <c r="I83" s="4">
        <f t="shared" si="5"/>
        <v>0</v>
      </c>
      <c r="J83" s="4">
        <f t="shared" si="5"/>
        <v>0</v>
      </c>
      <c r="K83" s="4">
        <f t="shared" si="5"/>
        <v>0</v>
      </c>
      <c r="L83" s="4">
        <f t="shared" si="5"/>
        <v>0</v>
      </c>
      <c r="M83" s="4">
        <f t="shared" si="5"/>
        <v>0</v>
      </c>
      <c r="N83" s="4">
        <f t="shared" si="5"/>
        <v>0</v>
      </c>
      <c r="O83" s="4">
        <f t="shared" si="5"/>
        <v>0</v>
      </c>
      <c r="P83" s="18"/>
      <c r="Q83" s="4">
        <f>IFERROR(Q82/Q10, 0)</f>
        <v>0</v>
      </c>
    </row>
    <row r="84" spans="1:17" x14ac:dyDescent="0.2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25"/>
      <c r="B85" s="6" t="s">
        <v>125</v>
      </c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2">
        <f>SUM(OSRRefD28_0x)+IFERROR(SUM(OSRRefE28_0x),0)</f>
        <v>0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124</v>
      </c>
      <c r="C87" s="17"/>
      <c r="D87" s="7">
        <f t="shared" ref="D87:O87" si="6">IFERROR(+D82-D85, 0)</f>
        <v>-30139.8</v>
      </c>
      <c r="E87" s="7">
        <f t="shared" si="6"/>
        <v>956.43000000000279</v>
      </c>
      <c r="F87" s="7">
        <f t="shared" si="6"/>
        <v>-28249.09</v>
      </c>
      <c r="G87" s="7">
        <f t="shared" si="6"/>
        <v>-25260.479999999992</v>
      </c>
      <c r="H87" s="7">
        <f t="shared" si="6"/>
        <v>-35067.669999999991</v>
      </c>
      <c r="I87" s="7">
        <f t="shared" si="6"/>
        <v>-32392.589999999997</v>
      </c>
      <c r="J87" s="7">
        <f t="shared" si="6"/>
        <v>-37266.659999999996</v>
      </c>
      <c r="K87" s="7">
        <f t="shared" si="6"/>
        <v>-35083.659999999996</v>
      </c>
      <c r="L87" s="7">
        <f t="shared" si="6"/>
        <v>-25260.43</v>
      </c>
      <c r="M87" s="7">
        <f t="shared" si="6"/>
        <v>-37640.359999999993</v>
      </c>
      <c r="N87" s="7">
        <f t="shared" si="6"/>
        <v>-23939.552380000001</v>
      </c>
      <c r="O87" s="7">
        <f t="shared" si="6"/>
        <v>-11118.552380000001</v>
      </c>
      <c r="Q87" s="7">
        <f>IFERROR(+Q82-Q85, 0)</f>
        <v>-320462.41476000001</v>
      </c>
    </row>
    <row r="88" spans="1:17" ht="15.75" thickTop="1" x14ac:dyDescent="0.25">
      <c r="A88" s="5"/>
      <c r="B88" s="5"/>
      <c r="C88" s="5"/>
      <c r="D88" s="4">
        <f t="shared" ref="D88:O88" si="7">IFERROR(D87/D10, 0)</f>
        <v>0</v>
      </c>
      <c r="E88" s="4">
        <f t="shared" si="7"/>
        <v>0</v>
      </c>
      <c r="F88" s="4">
        <f t="shared" si="7"/>
        <v>0</v>
      </c>
      <c r="G88" s="4">
        <f t="shared" si="7"/>
        <v>0</v>
      </c>
      <c r="H88" s="4">
        <f t="shared" si="7"/>
        <v>0</v>
      </c>
      <c r="I88" s="4">
        <f t="shared" si="7"/>
        <v>0</v>
      </c>
      <c r="J88" s="4">
        <f t="shared" si="7"/>
        <v>0</v>
      </c>
      <c r="K88" s="4">
        <f t="shared" si="7"/>
        <v>0</v>
      </c>
      <c r="L88" s="4">
        <f t="shared" si="7"/>
        <v>0</v>
      </c>
      <c r="M88" s="4">
        <f t="shared" si="7"/>
        <v>0</v>
      </c>
      <c r="N88" s="4">
        <f t="shared" si="7"/>
        <v>0</v>
      </c>
      <c r="O88" s="4">
        <f t="shared" si="7"/>
        <v>0</v>
      </c>
      <c r="P88" s="18"/>
      <c r="Q88" s="4">
        <f>IFERROR(Q87/Q10, 0)</f>
        <v>0</v>
      </c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.75" thickBot="1" x14ac:dyDescent="0.3">
      <c r="A91" s="6"/>
      <c r="B91" s="17" t="s">
        <v>292</v>
      </c>
      <c r="C91" s="17"/>
      <c r="D91" s="7">
        <f t="shared" ref="D91:O91" si="8">IFERROR(SUM(D87:D90), 0)</f>
        <v>-30139.8</v>
      </c>
      <c r="E91" s="7">
        <f t="shared" si="8"/>
        <v>956.43000000000279</v>
      </c>
      <c r="F91" s="7">
        <f t="shared" si="8"/>
        <v>-28249.09</v>
      </c>
      <c r="G91" s="7">
        <f t="shared" si="8"/>
        <v>-25260.479999999992</v>
      </c>
      <c r="H91" s="7">
        <f t="shared" si="8"/>
        <v>-35067.669999999991</v>
      </c>
      <c r="I91" s="7">
        <f t="shared" si="8"/>
        <v>-32392.589999999997</v>
      </c>
      <c r="J91" s="7">
        <f t="shared" si="8"/>
        <v>-37266.659999999996</v>
      </c>
      <c r="K91" s="7">
        <f t="shared" si="8"/>
        <v>-35083.659999999996</v>
      </c>
      <c r="L91" s="7">
        <f t="shared" si="8"/>
        <v>-25260.43</v>
      </c>
      <c r="M91" s="7">
        <f t="shared" si="8"/>
        <v>-37640.359999999993</v>
      </c>
      <c r="N91" s="7">
        <f t="shared" si="8"/>
        <v>-23939.552380000001</v>
      </c>
      <c r="O91" s="7">
        <f t="shared" si="8"/>
        <v>-11118.552380000001</v>
      </c>
      <c r="Q91" s="7">
        <f>IFERROR(SUM(Q87:Q90), 0)</f>
        <v>-320462.41476000001</v>
      </c>
    </row>
    <row r="92" spans="1:17" ht="15.75" thickTop="1" x14ac:dyDescent="0.25">
      <c r="A92" s="5"/>
      <c r="C92" s="5"/>
      <c r="D92" s="4">
        <f t="shared" ref="D92:O92" si="9">IFERROR(D91/D10, 0)</f>
        <v>0</v>
      </c>
      <c r="E92" s="4">
        <f t="shared" si="9"/>
        <v>0</v>
      </c>
      <c r="F92" s="4">
        <f t="shared" si="9"/>
        <v>0</v>
      </c>
      <c r="G92" s="4">
        <f t="shared" si="9"/>
        <v>0</v>
      </c>
      <c r="H92" s="4">
        <f t="shared" si="9"/>
        <v>0</v>
      </c>
      <c r="I92" s="4">
        <f t="shared" si="9"/>
        <v>0</v>
      </c>
      <c r="J92" s="4">
        <f t="shared" si="9"/>
        <v>0</v>
      </c>
      <c r="K92" s="4">
        <f t="shared" si="9"/>
        <v>0</v>
      </c>
      <c r="L92" s="4">
        <f t="shared" si="9"/>
        <v>0</v>
      </c>
      <c r="M92" s="4">
        <f t="shared" si="9"/>
        <v>0</v>
      </c>
      <c r="N92" s="4">
        <f t="shared" si="9"/>
        <v>0</v>
      </c>
      <c r="O92" s="4">
        <f t="shared" si="9"/>
        <v>0</v>
      </c>
      <c r="P92" s="18"/>
      <c r="Q92" s="4">
        <f>IFERROR(Q91/Q10, 0)</f>
        <v>0</v>
      </c>
    </row>
    <row r="93" spans="1:17" x14ac:dyDescent="0.25">
      <c r="A93" s="5"/>
      <c r="B93" s="27">
        <v>44330.012769791669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25">
      <c r="A94" s="5"/>
      <c r="B94" s="31" t="s">
        <v>54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26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","4100", " - ","NON-TAXABLE SALES")</f>
        <v xml:space="preserve">          4100 - NON-TAXABLE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3"/>
      <c r="B13" s="16" t="s">
        <v>217</v>
      </c>
      <c r="C13" s="22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SUM(OSRRefE14x_0)</f>
        <v>0</v>
      </c>
      <c r="O13" s="3">
        <f>SUM(OSRRefE14x_1)</f>
        <v>0</v>
      </c>
      <c r="Q13" s="3">
        <f>SUM(OSRRefG14x)</f>
        <v>0</v>
      </c>
    </row>
    <row r="14" spans="1:18" s="9" customFormat="1" hidden="1" outlineLevel="1" x14ac:dyDescent="0.25">
      <c r="A14" s="23"/>
      <c r="B14" s="10" t="str">
        <f>CONCATENATE("          ","5000", " - ","PURCHASES @ COST")</f>
        <v xml:space="preserve">          5000 - PURCHASES @ COST</v>
      </c>
      <c r="C14" s="22"/>
      <c r="D14" s="2"/>
      <c r="E14" s="2"/>
      <c r="F14" s="2"/>
      <c r="G14" s="2"/>
      <c r="H14" s="2"/>
      <c r="I14" s="2"/>
      <c r="J14" s="2"/>
      <c r="K14" s="2"/>
      <c r="L14" s="2"/>
      <c r="M14" s="2"/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IFERROR(+D10-D13, 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1080.99</v>
      </c>
      <c r="E19" s="14">
        <f>SUM(OSRRefD20x_1)</f>
        <v>976.21999999999991</v>
      </c>
      <c r="F19" s="14">
        <f>SUM(OSRRefD20x_2)</f>
        <v>739.58</v>
      </c>
      <c r="G19" s="14">
        <f>SUM(OSRRefD20x_3)</f>
        <v>627.29</v>
      </c>
      <c r="H19" s="14">
        <f>SUM(OSRRefD20x_4)</f>
        <v>1951.4900000000002</v>
      </c>
      <c r="I19" s="14">
        <f>SUM(OSRRefD20x_5)</f>
        <v>673.96</v>
      </c>
      <c r="J19" s="14">
        <f>SUM(OSRRefD20x_6)</f>
        <v>613.36</v>
      </c>
      <c r="K19" s="14">
        <f>SUM(OSRRefD20x_7)</f>
        <v>613.36</v>
      </c>
      <c r="L19" s="14">
        <f>SUM(OSRRefD20x_8)</f>
        <v>673.96</v>
      </c>
      <c r="M19" s="14">
        <f>SUM(OSRRefD20x_9)</f>
        <v>613.36</v>
      </c>
      <c r="N19" s="14">
        <f>SUM(OSRRefE20x_0)</f>
        <v>848</v>
      </c>
      <c r="O19" s="14">
        <f>SUM(OSRRefE20x_1)</f>
        <v>848</v>
      </c>
      <c r="Q19" s="14">
        <f>SUM(OSRRefG20x)</f>
        <v>10259.57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SUM(OSRRefE21_0x_0)</f>
        <v>0</v>
      </c>
      <c r="O20" s="1">
        <f>SUM(OSRRefE21_0x_1)</f>
        <v>0</v>
      </c>
      <c r="Q20" s="2">
        <f>SUM(OSRRefD20_0x)+IFERROR(SUM(OSRRefE20_0x),0)</f>
        <v>0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25">
      <c r="A22" s="35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25">
      <c r="A23" s="35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25">
      <c r="A24" s="35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25">
      <c r="A25" s="35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25">
      <c r="A26" s="35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25">
      <c r="A28" s="35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25">
      <c r="A29" s="35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SUM(OSRRefE21_1x_0)</f>
        <v>0</v>
      </c>
      <c r="O29" s="1">
        <f>SUM(OSRRefE21_1x_1)</f>
        <v>0</v>
      </c>
      <c r="Q29" s="2">
        <f>SUM(OSRRefD20_1x)+IFERROR(SUM(OSRRefE20_1x),0)</f>
        <v>0</v>
      </c>
    </row>
    <row r="30" spans="1:17" s="34" customFormat="1" hidden="1" outlineLevel="1" x14ac:dyDescent="0.25">
      <c r="A30" s="35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SUM(OSRRefE21_2x_0)</f>
        <v>0</v>
      </c>
      <c r="O40" s="1">
        <f>SUM(OSRRefE21_2x_1)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SUM(OSRRefE21_3x_0)</f>
        <v>0</v>
      </c>
      <c r="O42" s="1">
        <f>SUM(OSRRefE21_3x_1)</f>
        <v>0</v>
      </c>
      <c r="Q42" s="2">
        <f>SUM(OSRRefD20_3x)+IFERROR(SUM(OSRRefE20_3x),0)</f>
        <v>0</v>
      </c>
    </row>
    <row r="43" spans="1:17" s="34" customFormat="1" hidden="1" outlineLevel="1" x14ac:dyDescent="0.25">
      <c r="A43" s="35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25">
      <c r="A44" s="35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SUM(OSRRefD21_4x_6)</f>
        <v>577.36</v>
      </c>
      <c r="K44" s="1">
        <f>SUM(OSRRefD21_4x_7)</f>
        <v>577.36</v>
      </c>
      <c r="L44" s="1">
        <f>SUM(OSRRefD21_4x_8)</f>
        <v>577.36</v>
      </c>
      <c r="M44" s="1">
        <f>SUM(OSRRefD21_4x_9)</f>
        <v>577.36</v>
      </c>
      <c r="N44" s="1">
        <f>SUM(OSRRefE21_4x_0)</f>
        <v>848</v>
      </c>
      <c r="O44" s="1">
        <f>SUM(OSRRefE21_4x_1)</f>
        <v>848</v>
      </c>
      <c r="Q44" s="2">
        <f>SUM(OSRRefD20_4x)+IFERROR(SUM(OSRRefE20_4x),0)</f>
        <v>7808.5899999999992</v>
      </c>
    </row>
    <row r="45" spans="1:17" s="34" customFormat="1" hidden="1" outlineLevel="1" x14ac:dyDescent="0.25">
      <c r="A45" s="35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577.36</v>
      </c>
      <c r="K45" s="2">
        <v>577.36</v>
      </c>
      <c r="L45" s="2">
        <v>577.36</v>
      </c>
      <c r="M45" s="2">
        <v>577.36</v>
      </c>
      <c r="N45" s="2">
        <v>298</v>
      </c>
      <c r="O45" s="2">
        <v>298</v>
      </c>
      <c r="P45" s="9"/>
      <c r="Q45" s="2">
        <f>SUM(OSRRefD21_4_0x)+IFERROR(SUM(OSRRefE21_4_0x),0)</f>
        <v>6708.5899999999992</v>
      </c>
    </row>
    <row r="46" spans="1:17" s="34" customFormat="1" hidden="1" outlineLevel="1" x14ac:dyDescent="0.25">
      <c r="A46" s="35"/>
      <c r="B46" s="10" t="str">
        <f>CONCATENATE("          ","6326", " - ","VEHICLES DEPRECIATION EXPENSE")</f>
        <v xml:space="preserve">          6326 - VEHICLES DEPRECIATION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550</v>
      </c>
      <c r="O46" s="2">
        <v>550</v>
      </c>
      <c r="P46" s="9"/>
      <c r="Q46" s="2">
        <f>SUM(OSRRefD21_4_1x)+IFERROR(SUM(OSRRefE21_4_1x),0)</f>
        <v>1100</v>
      </c>
    </row>
    <row r="47" spans="1:17" s="34" customFormat="1" collapsed="1" x14ac:dyDescent="0.25">
      <c r="A47" s="35"/>
      <c r="B47" s="11" t="str">
        <f>CONCATENATE("     ","Employees' Appreciation                           ")</f>
        <v xml:space="preserve">     Employees' Appreciation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SUM(OSRRefE21_5x_0)</f>
        <v>0</v>
      </c>
      <c r="O47" s="1">
        <f>SUM(OSRRefE21_5x_1)</f>
        <v>0</v>
      </c>
      <c r="Q47" s="2">
        <f>SUM(OSRRefD20_5x)+IFERROR(SUM(OSRRefE20_5x),0)</f>
        <v>0</v>
      </c>
    </row>
    <row r="48" spans="1:17" s="34" customFormat="1" hidden="1" outlineLevel="1" x14ac:dyDescent="0.25">
      <c r="A48" s="35"/>
      <c r="B48" s="10" t="str">
        <f>CONCATENATE("          ","6277", " - ","EMPLOYEE APPRECIATION")</f>
        <v xml:space="preserve">          6277 - EMPLOYEE APPRECIATION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25">
      <c r="A49" s="35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SUM(OSRRefD21_6x_9)</f>
        <v>0</v>
      </c>
      <c r="N49" s="1">
        <f>SUM(OSRRefE21_6x_0)</f>
        <v>0</v>
      </c>
      <c r="O49" s="1">
        <f>SUM(OSRRefE21_6x_1)</f>
        <v>0</v>
      </c>
      <c r="Q49" s="2">
        <f>SUM(OSRRefD20_6x)+IFERROR(SUM(OSRRefE20_6x),0)</f>
        <v>16.239999999999998</v>
      </c>
    </row>
    <row r="50" spans="1:17" s="34" customFormat="1" hidden="1" outlineLevel="1" x14ac:dyDescent="0.25">
      <c r="A50" s="35"/>
      <c r="B50" s="10" t="str">
        <f>CONCATENATE("          ","6351", " - ","EQUIPMENT RENTAL")</f>
        <v xml:space="preserve">          6351 - EQUIPMENT RENTAL</v>
      </c>
      <c r="C50" s="11"/>
      <c r="D50" s="2">
        <v>16.239999999999998</v>
      </c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4" customFormat="1" collapsed="1" x14ac:dyDescent="0.25">
      <c r="A51" s="35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SUM(OSRRefE21_7x_0)</f>
        <v>0</v>
      </c>
      <c r="O51" s="1">
        <f>SUM(OSRRefE21_7x_1)</f>
        <v>0</v>
      </c>
      <c r="Q51" s="2">
        <f>SUM(OSRRefD20_7x)+IFERROR(SUM(OSRRefE20_7x),0)</f>
        <v>0</v>
      </c>
    </row>
    <row r="52" spans="1:17" s="34" customFormat="1" hidden="1" outlineLevel="1" x14ac:dyDescent="0.25">
      <c r="A52" s="35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4" customFormat="1" collapsed="1" x14ac:dyDescent="0.25">
      <c r="A53" s="35"/>
      <c r="B53" s="11" t="str">
        <f>CONCATENATE("     ","Repair and Maintenance                            ")</f>
        <v xml:space="preserve">     Repair and Maintenance                            </v>
      </c>
      <c r="C53" s="11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SUM(OSRRefD21_8x_6)</f>
        <v>0</v>
      </c>
      <c r="K53" s="1">
        <f>SUM(OSRRefD21_8x_7)</f>
        <v>0</v>
      </c>
      <c r="L53" s="1">
        <f>SUM(OSRRefD21_8x_8)</f>
        <v>60.6</v>
      </c>
      <c r="M53" s="1">
        <f>SUM(OSRRefD21_8x_9)</f>
        <v>0</v>
      </c>
      <c r="N53" s="1">
        <f>SUM(OSRRefE21_8x_0)</f>
        <v>0</v>
      </c>
      <c r="O53" s="1">
        <f>SUM(OSRRefE21_8x_1)</f>
        <v>0</v>
      </c>
      <c r="Q53" s="2">
        <f>SUM(OSRRefD20_8x)+IFERROR(SUM(OSRRefE20_8x),0)</f>
        <v>1677.1299999999999</v>
      </c>
    </row>
    <row r="54" spans="1:17" s="34" customFormat="1" hidden="1" outlineLevel="1" x14ac:dyDescent="0.25">
      <c r="A54" s="35"/>
      <c r="B54" s="10" t="str">
        <f>CONCATENATE("          ","6373", " - ","MAINTENANCE CONTRACTS")</f>
        <v xml:space="preserve">          6373 - MAINTENANCE CONTRACTS</v>
      </c>
      <c r="C54" s="11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>
        <v>60.6</v>
      </c>
      <c r="M54" s="2"/>
      <c r="N54" s="2"/>
      <c r="O54" s="2"/>
      <c r="P54" s="9"/>
      <c r="Q54" s="2">
        <f>SUM(OSRRefD21_8_0x)+IFERROR(SUM(OSRRefE21_8_0x),0)</f>
        <v>339</v>
      </c>
    </row>
    <row r="55" spans="1:17" s="34" customFormat="1" hidden="1" outlineLevel="1" x14ac:dyDescent="0.25">
      <c r="A55" s="35"/>
      <c r="B55" s="10" t="str">
        <f>CONCATENATE("          ","6375", " - ","OUTSIDE REPAIRS &amp; MAINTENANCE")</f>
        <v xml:space="preserve">          6375 - OUTSIDE REPAIRS &amp; MAINTENANCE</v>
      </c>
      <c r="C55" s="11"/>
      <c r="D55" s="2"/>
      <c r="E55" s="2"/>
      <c r="F55" s="2"/>
      <c r="G55" s="2"/>
      <c r="H55" s="2">
        <v>1338.13</v>
      </c>
      <c r="I55" s="2"/>
      <c r="J55" s="2"/>
      <c r="K55" s="2"/>
      <c r="L55" s="2"/>
      <c r="M55" s="2"/>
      <c r="N55" s="2">
        <v>0</v>
      </c>
      <c r="O55" s="2">
        <v>0</v>
      </c>
      <c r="P55" s="9"/>
      <c r="Q55" s="2">
        <f>SUM(OSRRefD21_8_1x)+IFERROR(SUM(OSRRefE21_8_1x),0)</f>
        <v>1338.13</v>
      </c>
    </row>
    <row r="56" spans="1:17" s="34" customFormat="1" collapsed="1" x14ac:dyDescent="0.25">
      <c r="A56" s="35"/>
      <c r="B56" s="11" t="str">
        <f>CONCATENATE("     ","Royalty &amp; Commissions                             ")</f>
        <v xml:space="preserve">     Royalty &amp; Commissions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SUM(OSRRefD21_9x_9)</f>
        <v>0</v>
      </c>
      <c r="N56" s="1">
        <f>SUM(OSRRefE21_9x_0)</f>
        <v>0</v>
      </c>
      <c r="O56" s="1">
        <f>SUM(OSRRefE21_9x_1)</f>
        <v>0</v>
      </c>
      <c r="Q56" s="2">
        <f>SUM(OSRRefD20_9x)+IFERROR(SUM(OSRRefE20_9x),0)</f>
        <v>0</v>
      </c>
    </row>
    <row r="57" spans="1:17" s="34" customFormat="1" hidden="1" outlineLevel="1" x14ac:dyDescent="0.25">
      <c r="A57" s="35"/>
      <c r="B57" s="10" t="str">
        <f>CONCATENATE("          ","6254", " - ","ROYALTY &amp; COMMISSIONS")</f>
        <v xml:space="preserve">          6254 - ROYALTY &amp; COMMISSIONS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4" customFormat="1" collapsed="1" x14ac:dyDescent="0.25">
      <c r="A58" s="35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0</v>
      </c>
      <c r="K58" s="1">
        <f>SUM(OSRRefD21_10x_7)</f>
        <v>0</v>
      </c>
      <c r="L58" s="1">
        <f>SUM(OSRRefD21_10x_8)</f>
        <v>0</v>
      </c>
      <c r="M58" s="1">
        <f>SUM(OSRRefD21_10x_9)</f>
        <v>0</v>
      </c>
      <c r="N58" s="1">
        <f>SUM(OSRRefE21_10x_0)</f>
        <v>0</v>
      </c>
      <c r="O58" s="1">
        <f>SUM(OSRRefE21_10x_1)</f>
        <v>0</v>
      </c>
      <c r="Q58" s="2">
        <f>SUM(OSRRefD20_10x)+IFERROR(SUM(OSRRefE20_10x),0)</f>
        <v>320.58</v>
      </c>
    </row>
    <row r="59" spans="1:17" s="34" customFormat="1" hidden="1" outlineLevel="1" x14ac:dyDescent="0.25">
      <c r="A59" s="35"/>
      <c r="B59" s="10" t="str">
        <f>CONCATENATE("          ","6282", " - ","JANITORIAL/EXTERMINATOR EXPENS")</f>
        <v xml:space="preserve">          6282 - JANITORIAL/EXTERMINATOR EXPENS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4" customFormat="1" hidden="1" outlineLevel="1" x14ac:dyDescent="0.25">
      <c r="A60" s="35"/>
      <c r="B60" s="10" t="str">
        <f>CONCATENATE("          ","6283", " - ","PLANT SERVICE")</f>
        <v xml:space="preserve">          6283 - PLANT SERVICE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4" customFormat="1" hidden="1" outlineLevel="1" x14ac:dyDescent="0.25">
      <c r="A61" s="35"/>
      <c r="B61" s="10" t="str">
        <f>CONCATENATE("          ","6285", " - ","JANITORIAL SERVICES")</f>
        <v xml:space="preserve">          6285 - JANITORIAL SERVICES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4" customFormat="1" hidden="1" outlineLevel="1" x14ac:dyDescent="0.25">
      <c r="A62" s="35"/>
      <c r="B62" s="10" t="str">
        <f>CONCATENATE("          ","6286", " - ","LAUNDRY EXPENSE")</f>
        <v xml:space="preserve">          6286 - LAUNDRY EXPENSE</v>
      </c>
      <c r="C62" s="11"/>
      <c r="D62" s="2">
        <v>320.58</v>
      </c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4" customFormat="1" collapsed="1" x14ac:dyDescent="0.25">
      <c r="A63" s="35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SUM(OSRRefE21_11x_0)</f>
        <v>0</v>
      </c>
      <c r="O63" s="1">
        <f>SUM(OSRRefE21_11x_1)</f>
        <v>0</v>
      </c>
      <c r="Q63" s="2">
        <f>SUM(OSRRefD20_11x)+IFERROR(SUM(OSRRefE20_11x),0)</f>
        <v>0</v>
      </c>
    </row>
    <row r="64" spans="1:17" s="34" customFormat="1" hidden="1" outlineLevel="1" x14ac:dyDescent="0.25">
      <c r="A64" s="35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25">
      <c r="A65" s="35"/>
      <c r="B65" s="10" t="str">
        <f>CONCATENATE("          ","6241", " - ","OFFICE EXPENSE")</f>
        <v xml:space="preserve">          6241 - OFFICE EXPENSE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4" customFormat="1" hidden="1" outlineLevel="1" x14ac:dyDescent="0.25">
      <c r="A66" s="35"/>
      <c r="B66" s="10" t="str">
        <f>CONCATENATE("          ","6243", " - ","PAPER SUPPLIES")</f>
        <v xml:space="preserve">          6243 - PAPER SUPPLIES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SUM(OSRRefD21_11_2x)+IFERROR(SUM(OSRRefE21_11_2x),0)</f>
        <v>0</v>
      </c>
    </row>
    <row r="67" spans="1:17" s="34" customFormat="1" hidden="1" outlineLevel="1" x14ac:dyDescent="0.25">
      <c r="A67" s="35"/>
      <c r="B67" s="10" t="str">
        <f>CONCATENATE("          ","6247", " - ","STORE SUPPLIES")</f>
        <v xml:space="preserve">          6247 - STORE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4" customFormat="1" collapsed="1" x14ac:dyDescent="0.25">
      <c r="A68" s="35"/>
      <c r="B68" s="11" t="str">
        <f>CONCATENATE("     ","Telephone/Data Lines                              ")</f>
        <v xml:space="preserve">     Telephone/Data Lines                              </v>
      </c>
      <c r="C68" s="11"/>
      <c r="D68" s="1">
        <f>SUM(OSRRefD21_12x_0)</f>
        <v>53.81</v>
      </c>
      <c r="E68" s="1">
        <f>SUM(OSRRefD21_12x_1)</f>
        <v>128.66</v>
      </c>
      <c r="F68" s="1">
        <f>SUM(OSRRefD21_12x_2)</f>
        <v>-11.37</v>
      </c>
      <c r="G68" s="1">
        <f>SUM(OSRRefD21_12x_3)</f>
        <v>49.93</v>
      </c>
      <c r="H68" s="1">
        <f>SUM(OSRRefD21_12x_4)</f>
        <v>36</v>
      </c>
      <c r="I68" s="1">
        <f>SUM(OSRRefD21_12x_5)</f>
        <v>36</v>
      </c>
      <c r="J68" s="1">
        <f>SUM(OSRRefD21_12x_6)</f>
        <v>36</v>
      </c>
      <c r="K68" s="1">
        <f>SUM(OSRRefD21_12x_7)</f>
        <v>36</v>
      </c>
      <c r="L68" s="1">
        <f>SUM(OSRRefD21_12x_8)</f>
        <v>36</v>
      </c>
      <c r="M68" s="1">
        <f>SUM(OSRRefD21_12x_9)</f>
        <v>36</v>
      </c>
      <c r="N68" s="1">
        <f>SUM(OSRRefE21_12x_0)</f>
        <v>0</v>
      </c>
      <c r="O68" s="1">
        <f>SUM(OSRRefE21_12x_1)</f>
        <v>0</v>
      </c>
      <c r="Q68" s="2">
        <f>SUM(OSRRefD20_12x)+IFERROR(SUM(OSRRefE20_12x),0)</f>
        <v>437.03</v>
      </c>
    </row>
    <row r="69" spans="1:17" s="34" customFormat="1" hidden="1" outlineLevel="1" x14ac:dyDescent="0.25">
      <c r="A69" s="35"/>
      <c r="B69" s="10" t="str">
        <f>CONCATENATE("          ","6303", " - ","DATA PHONE LINES")</f>
        <v xml:space="preserve">          6303 - DATA PHONE LINES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0</v>
      </c>
      <c r="O69" s="2">
        <v>0</v>
      </c>
      <c r="P69" s="9"/>
      <c r="Q69" s="2">
        <f>SUM(OSRRefD21_12_0x)+IFERROR(SUM(OSRRefE21_12_0x),0)</f>
        <v>0</v>
      </c>
    </row>
    <row r="70" spans="1:17" s="34" customFormat="1" hidden="1" outlineLevel="1" x14ac:dyDescent="0.25">
      <c r="A70" s="35"/>
      <c r="B70" s="10" t="str">
        <f>CONCATENATE("          ","6309", " - ","TELEPHONE")</f>
        <v xml:space="preserve">          6309 - TELEPHONE</v>
      </c>
      <c r="C70" s="11"/>
      <c r="D70" s="2">
        <v>53.81</v>
      </c>
      <c r="E70" s="2">
        <v>128.66</v>
      </c>
      <c r="F70" s="2">
        <v>-11.37</v>
      </c>
      <c r="G70" s="2">
        <v>49.93</v>
      </c>
      <c r="H70" s="2">
        <v>36</v>
      </c>
      <c r="I70" s="2">
        <v>36</v>
      </c>
      <c r="J70" s="2">
        <v>36</v>
      </c>
      <c r="K70" s="2">
        <v>36</v>
      </c>
      <c r="L70" s="2">
        <v>36</v>
      </c>
      <c r="M70" s="2">
        <v>36</v>
      </c>
      <c r="N70" s="2"/>
      <c r="O70" s="2"/>
      <c r="P70" s="9"/>
      <c r="Q70" s="2">
        <f>SUM(OSRRefD21_12_1x)+IFERROR(SUM(OSRRefE21_12_1x),0)</f>
        <v>437.03</v>
      </c>
    </row>
    <row r="71" spans="1:17" s="34" customFormat="1" collapsed="1" x14ac:dyDescent="0.25">
      <c r="A71" s="35"/>
      <c r="B71" s="11" t="str">
        <f>CONCATENATE("     ","Utilities                                         ")</f>
        <v xml:space="preserve">     Utilities                                         </v>
      </c>
      <c r="C71" s="11"/>
      <c r="D71" s="1">
        <f>SUM(OSRRefD21_13x_0)</f>
        <v>0</v>
      </c>
      <c r="E71" s="1">
        <f>SUM(OSRRefD21_13x_1)</f>
        <v>0</v>
      </c>
      <c r="F71" s="1">
        <f>SUM(OSRRefD21_13x_2)</f>
        <v>0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SUM(OSRRefD21_13x_6)</f>
        <v>0</v>
      </c>
      <c r="K71" s="1">
        <f>SUM(OSRRefD21_13x_7)</f>
        <v>0</v>
      </c>
      <c r="L71" s="1">
        <f>SUM(OSRRefD21_13x_8)</f>
        <v>0</v>
      </c>
      <c r="M71" s="1">
        <f>SUM(OSRRefD21_13x_9)</f>
        <v>0</v>
      </c>
      <c r="N71" s="1">
        <f>SUM(OSRRefE21_13x_0)</f>
        <v>0</v>
      </c>
      <c r="O71" s="1">
        <f>SUM(OSRRefE21_13x_1)</f>
        <v>0</v>
      </c>
      <c r="Q71" s="2">
        <f>SUM(OSRRefD20_13x)+IFERROR(SUM(OSRRefE20_13x),0)</f>
        <v>0</v>
      </c>
    </row>
    <row r="72" spans="1:17" s="34" customFormat="1" hidden="1" outlineLevel="1" x14ac:dyDescent="0.25">
      <c r="A72" s="35"/>
      <c r="B72" s="10" t="str">
        <f>CONCATENATE("          ","6274", " - ","UTILITIES")</f>
        <v xml:space="preserve">          6274 - UTILITIES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SUM(OSRRefD21_13_0x)+IFERROR(SUM(OSRRefE21_13_0x),0)</f>
        <v>0</v>
      </c>
    </row>
    <row r="73" spans="1:17" s="30" customFormat="1" x14ac:dyDescent="0.25">
      <c r="A73" s="21"/>
      <c r="B73" s="21"/>
      <c r="C73" s="2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9" customFormat="1" x14ac:dyDescent="0.25">
      <c r="A74" s="23"/>
      <c r="B74" s="16" t="s">
        <v>291</v>
      </c>
      <c r="C74" s="22"/>
      <c r="D74" s="3">
        <f t="shared" ref="D74:M74" si="3">0</f>
        <v>0</v>
      </c>
      <c r="E74" s="3">
        <f t="shared" si="3"/>
        <v>0</v>
      </c>
      <c r="F74" s="3">
        <f t="shared" si="3"/>
        <v>0</v>
      </c>
      <c r="G74" s="3">
        <f t="shared" si="3"/>
        <v>0</v>
      </c>
      <c r="H74" s="3">
        <f t="shared" si="3"/>
        <v>0</v>
      </c>
      <c r="I74" s="3">
        <f t="shared" si="3"/>
        <v>0</v>
      </c>
      <c r="J74" s="3">
        <f t="shared" si="3"/>
        <v>0</v>
      </c>
      <c r="K74" s="3">
        <f t="shared" si="3"/>
        <v>0</v>
      </c>
      <c r="L74" s="3">
        <f t="shared" si="3"/>
        <v>0</v>
      </c>
      <c r="M74" s="3">
        <f t="shared" si="3"/>
        <v>0</v>
      </c>
      <c r="N74" s="3"/>
      <c r="O74" s="3"/>
      <c r="Q74" s="2">
        <f>SUM(OSRRefD23_0x)+IFERROR(SUM(OSRRefE23_0x),0)</f>
        <v>0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25">
      <c r="A76" s="6"/>
      <c r="B76" s="17" t="s">
        <v>274</v>
      </c>
      <c r="C76" s="17"/>
      <c r="D76" s="8">
        <f t="shared" ref="D76:O76" si="4">IFERROR(+D16-D19+D74, 0)</f>
        <v>-1080.99</v>
      </c>
      <c r="E76" s="8">
        <f t="shared" si="4"/>
        <v>-976.21999999999991</v>
      </c>
      <c r="F76" s="8">
        <f t="shared" si="4"/>
        <v>-739.58</v>
      </c>
      <c r="G76" s="8">
        <f t="shared" si="4"/>
        <v>-627.29</v>
      </c>
      <c r="H76" s="8">
        <f t="shared" si="4"/>
        <v>-1951.4900000000002</v>
      </c>
      <c r="I76" s="8">
        <f t="shared" si="4"/>
        <v>-673.96</v>
      </c>
      <c r="J76" s="8">
        <f t="shared" si="4"/>
        <v>-613.36</v>
      </c>
      <c r="K76" s="8">
        <f t="shared" si="4"/>
        <v>-613.36</v>
      </c>
      <c r="L76" s="8">
        <f t="shared" si="4"/>
        <v>-673.96</v>
      </c>
      <c r="M76" s="8">
        <f t="shared" si="4"/>
        <v>-613.36</v>
      </c>
      <c r="N76" s="8">
        <f t="shared" si="4"/>
        <v>-848</v>
      </c>
      <c r="O76" s="8">
        <f t="shared" si="4"/>
        <v>-848</v>
      </c>
      <c r="Q76" s="8">
        <f>IFERROR(+Q16-Q19+Q74, 0)</f>
        <v>-10259.57</v>
      </c>
    </row>
    <row r="77" spans="1:17" s="6" customFormat="1" x14ac:dyDescent="0.25">
      <c r="B77" s="16"/>
      <c r="C77" s="16"/>
      <c r="D77" s="4">
        <f t="shared" ref="D77:O77" si="5">IFERROR(D76/D10, 0)</f>
        <v>0</v>
      </c>
      <c r="E77" s="4">
        <f t="shared" si="5"/>
        <v>0</v>
      </c>
      <c r="F77" s="4">
        <f t="shared" si="5"/>
        <v>0</v>
      </c>
      <c r="G77" s="4">
        <f t="shared" si="5"/>
        <v>0</v>
      </c>
      <c r="H77" s="4">
        <f t="shared" si="5"/>
        <v>0</v>
      </c>
      <c r="I77" s="4">
        <f t="shared" si="5"/>
        <v>0</v>
      </c>
      <c r="J77" s="4">
        <f t="shared" si="5"/>
        <v>0</v>
      </c>
      <c r="K77" s="4">
        <f t="shared" si="5"/>
        <v>0</v>
      </c>
      <c r="L77" s="4">
        <f t="shared" si="5"/>
        <v>0</v>
      </c>
      <c r="M77" s="4">
        <f t="shared" si="5"/>
        <v>0</v>
      </c>
      <c r="N77" s="4">
        <f t="shared" si="5"/>
        <v>0</v>
      </c>
      <c r="O77" s="4">
        <f t="shared" si="5"/>
        <v>0</v>
      </c>
      <c r="P77" s="18"/>
      <c r="Q77" s="4">
        <f>IFERROR(Q76/Q10, 0)</f>
        <v>0</v>
      </c>
    </row>
    <row r="78" spans="1:17" x14ac:dyDescent="0.25">
      <c r="A78" s="5"/>
      <c r="B78" s="6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x14ac:dyDescent="0.25">
      <c r="A79" s="25"/>
      <c r="B79" s="6" t="s">
        <v>125</v>
      </c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2">
        <f>SUM(OSRRefD28_0x)+IFERROR(SUM(OSRRefE28_0x),0)</f>
        <v>0</v>
      </c>
    </row>
    <row r="80" spans="1:17" x14ac:dyDescent="0.25">
      <c r="A80" s="5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124</v>
      </c>
      <c r="C81" s="17"/>
      <c r="D81" s="7">
        <f t="shared" ref="D81:O81" si="6">IFERROR(+D76-D79, 0)</f>
        <v>-1080.99</v>
      </c>
      <c r="E81" s="7">
        <f t="shared" si="6"/>
        <v>-976.21999999999991</v>
      </c>
      <c r="F81" s="7">
        <f t="shared" si="6"/>
        <v>-739.58</v>
      </c>
      <c r="G81" s="7">
        <f t="shared" si="6"/>
        <v>-627.29</v>
      </c>
      <c r="H81" s="7">
        <f t="shared" si="6"/>
        <v>-1951.4900000000002</v>
      </c>
      <c r="I81" s="7">
        <f t="shared" si="6"/>
        <v>-673.96</v>
      </c>
      <c r="J81" s="7">
        <f t="shared" si="6"/>
        <v>-613.36</v>
      </c>
      <c r="K81" s="7">
        <f t="shared" si="6"/>
        <v>-613.36</v>
      </c>
      <c r="L81" s="7">
        <f t="shared" si="6"/>
        <v>-673.96</v>
      </c>
      <c r="M81" s="7">
        <f t="shared" si="6"/>
        <v>-613.36</v>
      </c>
      <c r="N81" s="7">
        <f t="shared" si="6"/>
        <v>-848</v>
      </c>
      <c r="O81" s="7">
        <f t="shared" si="6"/>
        <v>-848</v>
      </c>
      <c r="Q81" s="7">
        <f>IFERROR(+Q76-Q79, 0)</f>
        <v>-10259.57</v>
      </c>
    </row>
    <row r="82" spans="1:17" ht="15.75" thickTop="1" x14ac:dyDescent="0.25">
      <c r="A82" s="5"/>
      <c r="B82" s="5"/>
      <c r="C82" s="5"/>
      <c r="D82" s="4">
        <f t="shared" ref="D82:O82" si="7">IFERROR(D81/D10, 0)</f>
        <v>0</v>
      </c>
      <c r="E82" s="4">
        <f t="shared" si="7"/>
        <v>0</v>
      </c>
      <c r="F82" s="4">
        <f t="shared" si="7"/>
        <v>0</v>
      </c>
      <c r="G82" s="4">
        <f t="shared" si="7"/>
        <v>0</v>
      </c>
      <c r="H82" s="4">
        <f t="shared" si="7"/>
        <v>0</v>
      </c>
      <c r="I82" s="4">
        <f t="shared" si="7"/>
        <v>0</v>
      </c>
      <c r="J82" s="4">
        <f t="shared" si="7"/>
        <v>0</v>
      </c>
      <c r="K82" s="4">
        <f t="shared" si="7"/>
        <v>0</v>
      </c>
      <c r="L82" s="4">
        <f t="shared" si="7"/>
        <v>0</v>
      </c>
      <c r="M82" s="4">
        <f t="shared" si="7"/>
        <v>0</v>
      </c>
      <c r="N82" s="4">
        <f t="shared" si="7"/>
        <v>0</v>
      </c>
      <c r="O82" s="4">
        <f t="shared" si="7"/>
        <v>0</v>
      </c>
      <c r="P82" s="18"/>
      <c r="Q82" s="4">
        <f>IFERROR(Q81/Q10, 0)</f>
        <v>0</v>
      </c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.75" thickBot="1" x14ac:dyDescent="0.3">
      <c r="A85" s="6"/>
      <c r="B85" s="17" t="s">
        <v>292</v>
      </c>
      <c r="C85" s="17"/>
      <c r="D85" s="7">
        <f t="shared" ref="D85:O85" si="8">IFERROR(SUM(D81:D84), 0)</f>
        <v>-1080.99</v>
      </c>
      <c r="E85" s="7">
        <f t="shared" si="8"/>
        <v>-976.21999999999991</v>
      </c>
      <c r="F85" s="7">
        <f t="shared" si="8"/>
        <v>-739.58</v>
      </c>
      <c r="G85" s="7">
        <f t="shared" si="8"/>
        <v>-627.29</v>
      </c>
      <c r="H85" s="7">
        <f t="shared" si="8"/>
        <v>-1951.4900000000002</v>
      </c>
      <c r="I85" s="7">
        <f t="shared" si="8"/>
        <v>-673.96</v>
      </c>
      <c r="J85" s="7">
        <f t="shared" si="8"/>
        <v>-613.36</v>
      </c>
      <c r="K85" s="7">
        <f t="shared" si="8"/>
        <v>-613.36</v>
      </c>
      <c r="L85" s="7">
        <f t="shared" si="8"/>
        <v>-673.96</v>
      </c>
      <c r="M85" s="7">
        <f t="shared" si="8"/>
        <v>-613.36</v>
      </c>
      <c r="N85" s="7">
        <f t="shared" si="8"/>
        <v>-848</v>
      </c>
      <c r="O85" s="7">
        <f t="shared" si="8"/>
        <v>-848</v>
      </c>
      <c r="Q85" s="7">
        <f>IFERROR(SUM(Q81:Q84), 0)</f>
        <v>-10259.57</v>
      </c>
    </row>
    <row r="86" spans="1:17" ht="15.75" thickTop="1" x14ac:dyDescent="0.25">
      <c r="A86" s="5"/>
      <c r="C86" s="5"/>
      <c r="D86" s="4">
        <f t="shared" ref="D86:O86" si="9">IFERROR(D85/D10, 0)</f>
        <v>0</v>
      </c>
      <c r="E86" s="4">
        <f t="shared" si="9"/>
        <v>0</v>
      </c>
      <c r="F86" s="4">
        <f t="shared" si="9"/>
        <v>0</v>
      </c>
      <c r="G86" s="4">
        <f t="shared" si="9"/>
        <v>0</v>
      </c>
      <c r="H86" s="4">
        <f t="shared" si="9"/>
        <v>0</v>
      </c>
      <c r="I86" s="4">
        <f t="shared" si="9"/>
        <v>0</v>
      </c>
      <c r="J86" s="4">
        <f t="shared" si="9"/>
        <v>0</v>
      </c>
      <c r="K86" s="4">
        <f t="shared" si="9"/>
        <v>0</v>
      </c>
      <c r="L86" s="4">
        <f t="shared" si="9"/>
        <v>0</v>
      </c>
      <c r="M86" s="4">
        <f t="shared" si="9"/>
        <v>0</v>
      </c>
      <c r="N86" s="4">
        <f t="shared" si="9"/>
        <v>0</v>
      </c>
      <c r="O86" s="4">
        <f t="shared" si="9"/>
        <v>0</v>
      </c>
      <c r="P86" s="18"/>
      <c r="Q86" s="4">
        <f>IFERROR(Q85/Q10, 0)</f>
        <v>0</v>
      </c>
    </row>
    <row r="87" spans="1:17" x14ac:dyDescent="0.25">
      <c r="A87" s="5"/>
      <c r="B87" s="27">
        <v>44330.012769791669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A88" s="5"/>
      <c r="B88" s="31" t="s">
        <v>54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25">
      <c r="A89" s="5"/>
      <c r="B89" s="26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  <row r="90" spans="1:17" x14ac:dyDescent="0.25"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Q9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0</v>
      </c>
      <c r="M14" s="3">
        <f>SUM(OSRRefD14x_9)</f>
        <v>0</v>
      </c>
      <c r="N14" s="3">
        <f>SUM(OSRRefE14x_0)</f>
        <v>0</v>
      </c>
      <c r="O14" s="3">
        <f>SUM(OSRRefE14x_1)</f>
        <v>0</v>
      </c>
      <c r="Q14" s="3">
        <f>SUM(OSRRefG14x)</f>
        <v>0</v>
      </c>
    </row>
    <row r="15" spans="1:18" s="9" customFormat="1" hidden="1" outlineLevel="1" x14ac:dyDescent="0.25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8">
        <f t="shared" ref="D17:O17" si="1">IFERROR(+D10-D14, 0)</f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8">
        <f t="shared" si="1"/>
        <v>0</v>
      </c>
      <c r="O17" s="8">
        <f t="shared" si="1"/>
        <v>0</v>
      </c>
      <c r="Q17" s="8">
        <f>IFERROR(+Q10-Q14, 0)</f>
        <v>0</v>
      </c>
    </row>
    <row r="18" spans="1:17" s="6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254</v>
      </c>
      <c r="C20" s="6"/>
      <c r="D20" s="14">
        <f>SUM(OSRRefD20x_0)</f>
        <v>4118.5600000000004</v>
      </c>
      <c r="E20" s="14">
        <f>SUM(OSRRefD20x_1)</f>
        <v>157.63</v>
      </c>
      <c r="F20" s="14">
        <f>SUM(OSRRefD20x_2)</f>
        <v>223.78</v>
      </c>
      <c r="G20" s="14">
        <f>SUM(OSRRefD20x_3)</f>
        <v>65.73</v>
      </c>
      <c r="H20" s="14">
        <f>SUM(OSRRefD20x_4)</f>
        <v>196.03</v>
      </c>
      <c r="I20" s="14">
        <f>SUM(OSRRefD20x_5)</f>
        <v>85.78</v>
      </c>
      <c r="J20" s="14">
        <f>SUM(OSRRefD20x_6)</f>
        <v>58.03</v>
      </c>
      <c r="K20" s="14">
        <f>SUM(OSRRefD20x_7)</f>
        <v>58.03</v>
      </c>
      <c r="L20" s="14">
        <f>SUM(OSRRefD20x_8)</f>
        <v>223.78</v>
      </c>
      <c r="M20" s="14">
        <f>SUM(OSRRefD20x_9)</f>
        <v>58.03</v>
      </c>
      <c r="N20" s="14">
        <f>SUM(OSRRefE20x_0)</f>
        <v>630</v>
      </c>
      <c r="O20" s="14">
        <f>SUM(OSRRefE20x_1)</f>
        <v>630</v>
      </c>
      <c r="Q20" s="14">
        <f>SUM(OSRRefG20x)</f>
        <v>6505.3799999999992</v>
      </c>
    </row>
    <row r="21" spans="1:17" s="34" customFormat="1" collapsed="1" x14ac:dyDescent="0.25">
      <c r="A21" s="35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SUM(OSRRefD21_0x_9)</f>
        <v>0</v>
      </c>
      <c r="N21" s="1">
        <f>SUM(OSRRefE21_0x_0)</f>
        <v>0</v>
      </c>
      <c r="O21" s="1">
        <f>SUM(OSRRefE21_0x_1)</f>
        <v>0</v>
      </c>
      <c r="Q21" s="2">
        <f>SUM(OSRRefD20_0x)+IFERROR(SUM(OSRRefE20_0x),0)</f>
        <v>1493.43</v>
      </c>
    </row>
    <row r="22" spans="1:17" s="34" customFormat="1" hidden="1" outlineLevel="1" x14ac:dyDescent="0.25">
      <c r="A22" s="35"/>
      <c r="B22" s="10" t="str">
        <f>CONCATENATE("          ","6111", " - ","F.I.C.A.")</f>
        <v xml:space="preserve">          6111 - F.I.C.A.</v>
      </c>
      <c r="C22" s="11"/>
      <c r="D22" s="2">
        <v>191.51</v>
      </c>
      <c r="E22" s="2"/>
      <c r="F22" s="2"/>
      <c r="G22" s="2"/>
      <c r="H22" s="2"/>
      <c r="I22" s="2"/>
      <c r="J22" s="2"/>
      <c r="K22" s="2"/>
      <c r="L22" s="2"/>
      <c r="M22" s="2"/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4" customFormat="1" hidden="1" outlineLevel="1" x14ac:dyDescent="0.25">
      <c r="A23" s="35"/>
      <c r="B23" s="10" t="str">
        <f>CONCATENATE("          ","6112", " - ","COMPENSATION INSURANCE")</f>
        <v xml:space="preserve">          6112 - COMPENSATION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0" t="str">
        <f>CONCATENATE("          ","6113", " - ","GROUP INSURANCE")</f>
        <v xml:space="preserve">          6113 - GROUP INSURANCE</v>
      </c>
      <c r="C24" s="11"/>
      <c r="D24" s="2">
        <v>718.51</v>
      </c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4" customFormat="1" hidden="1" outlineLevel="1" x14ac:dyDescent="0.25">
      <c r="A25" s="35"/>
      <c r="B25" s="10" t="str">
        <f>CONCATENATE("          ","6114", " - ","STATE UNEMPLOYMENT INSURANCE")</f>
        <v xml:space="preserve">          6114 - STATE UNEMPLOYMENT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0" t="str">
        <f>CONCATENATE("          ","6115", " - ","P.E.R.S.")</f>
        <v xml:space="preserve">          6115 - P.E.R.S.</v>
      </c>
      <c r="C26" s="11"/>
      <c r="D26" s="2">
        <v>377.03</v>
      </c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4" customFormat="1" hidden="1" outlineLevel="1" x14ac:dyDescent="0.25">
      <c r="A27" s="35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0" t="str">
        <f>CONCATENATE("          ","6118", " - ","VACATION")</f>
        <v xml:space="preserve">          6118 - VACATION</v>
      </c>
      <c r="C28" s="11"/>
      <c r="D28" s="2">
        <v>93.89</v>
      </c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4" customFormat="1" hidden="1" outlineLevel="1" x14ac:dyDescent="0.25">
      <c r="A29" s="35"/>
      <c r="B29" s="10" t="str">
        <f>CONCATENATE("          ","6119", " - ","SICK LEAVE")</f>
        <v xml:space="preserve">          6119 - SICK LEAVE</v>
      </c>
      <c r="C29" s="11"/>
      <c r="D29" s="2">
        <v>112.49</v>
      </c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4" customFormat="1" hidden="1" outlineLevel="1" x14ac:dyDescent="0.25">
      <c r="A30" s="35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4" customFormat="1" collapsed="1" x14ac:dyDescent="0.25">
      <c r="A31" s="35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SUM(OSRRefE21_1x_0)</f>
        <v>0</v>
      </c>
      <c r="O31" s="1">
        <f>SUM(OSRRefE21_1x_1)</f>
        <v>0</v>
      </c>
      <c r="Q31" s="2">
        <f>SUM(OSRRefD20_1x)+IFERROR(SUM(OSRRefE20_1x),0)</f>
        <v>2259.48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1"/>
      <c r="D33" s="2">
        <v>2259.48</v>
      </c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SUM(OSRRefE21_2x_0)</f>
        <v>0</v>
      </c>
      <c r="O42" s="1">
        <f>SUM(OSRRefE21_2x_1)</f>
        <v>0</v>
      </c>
      <c r="Q42" s="2">
        <f>SUM(OSRRefD20_2x)+IFERROR(SUM(OSRRefE20_2x),0)</f>
        <v>0</v>
      </c>
    </row>
    <row r="43" spans="1:17" s="34" customFormat="1" hidden="1" outlineLevel="1" x14ac:dyDescent="0.25">
      <c r="A43" s="35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4" customFormat="1" collapsed="1" x14ac:dyDescent="0.25">
      <c r="A44" s="35"/>
      <c r="B44" s="11" t="str">
        <f>CONCATENATE("     ","Bad Debts/Over/Short                              ")</f>
        <v xml:space="preserve">     Bad Debts/Over/Short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SUM(OSRRefE21_3x_0)</f>
        <v>0</v>
      </c>
      <c r="O44" s="1">
        <f>SUM(OSRRefE21_3x_1)</f>
        <v>0</v>
      </c>
      <c r="Q44" s="2">
        <f>SUM(OSRRefD20_3x)+IFERROR(SUM(OSRRefE20_3x),0)</f>
        <v>0</v>
      </c>
    </row>
    <row r="45" spans="1:17" s="34" customFormat="1" hidden="1" outlineLevel="1" x14ac:dyDescent="0.25">
      <c r="A45" s="35"/>
      <c r="B45" s="10" t="str">
        <f>CONCATENATE("          ","6272", " - ","CASH (OVER/SHORT)")</f>
        <v xml:space="preserve">          6272 - CASH (OVER/SHORT)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4" customFormat="1" collapsed="1" x14ac:dyDescent="0.25">
      <c r="A46" s="35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SUM(OSRRefD21_4x_9)</f>
        <v>0</v>
      </c>
      <c r="N46" s="1">
        <f>SUM(OSRRefE21_4x_0)</f>
        <v>0</v>
      </c>
      <c r="O46" s="1">
        <f>SUM(OSRRefE21_4x_1)</f>
        <v>0</v>
      </c>
      <c r="Q46" s="2">
        <f>SUM(OSRRefD20_4x)+IFERROR(SUM(OSRRefE20_4x),0)</f>
        <v>0</v>
      </c>
    </row>
    <row r="47" spans="1:17" s="34" customFormat="1" hidden="1" outlineLevel="1" x14ac:dyDescent="0.25">
      <c r="A47" s="35"/>
      <c r="B47" s="10" t="str">
        <f>CONCATENATE("          ","6381", " - ","BANK/CREDIT CARD FEES")</f>
        <v xml:space="preserve">          6381 - BANK/CREDIT CARD FEES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4" customFormat="1" collapsed="1" x14ac:dyDescent="0.25">
      <c r="A48" s="35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SUM(OSRRefD21_5x_4)</f>
        <v>58.03</v>
      </c>
      <c r="I48" s="1">
        <f>SUM(OSRRefD21_5x_5)</f>
        <v>58.03</v>
      </c>
      <c r="J48" s="1">
        <f>SUM(OSRRefD21_5x_6)</f>
        <v>58.03</v>
      </c>
      <c r="K48" s="1">
        <f>SUM(OSRRefD21_5x_7)</f>
        <v>58.03</v>
      </c>
      <c r="L48" s="1">
        <f>SUM(OSRRefD21_5x_8)</f>
        <v>58.03</v>
      </c>
      <c r="M48" s="1">
        <f>SUM(OSRRefD21_5x_9)</f>
        <v>58.03</v>
      </c>
      <c r="N48" s="1">
        <f>SUM(OSRRefE21_5x_0)</f>
        <v>630</v>
      </c>
      <c r="O48" s="1">
        <f>SUM(OSRRefE21_5x_1)</f>
        <v>630</v>
      </c>
      <c r="Q48" s="2">
        <f>SUM(OSRRefD20_5x)+IFERROR(SUM(OSRRefE20_5x),0)</f>
        <v>1840.2999999999997</v>
      </c>
    </row>
    <row r="49" spans="1:17" s="34" customFormat="1" hidden="1" outlineLevel="1" x14ac:dyDescent="0.25">
      <c r="A49" s="35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58.03</v>
      </c>
      <c r="E49" s="2">
        <v>58.03</v>
      </c>
      <c r="F49" s="2">
        <v>58.03</v>
      </c>
      <c r="G49" s="2">
        <v>58.03</v>
      </c>
      <c r="H49" s="2">
        <v>58.03</v>
      </c>
      <c r="I49" s="2">
        <v>58.03</v>
      </c>
      <c r="J49" s="2">
        <v>58.03</v>
      </c>
      <c r="K49" s="2">
        <v>58.03</v>
      </c>
      <c r="L49" s="2">
        <v>58.03</v>
      </c>
      <c r="M49" s="2">
        <v>58.03</v>
      </c>
      <c r="N49" s="2">
        <v>630</v>
      </c>
      <c r="O49" s="2">
        <v>630</v>
      </c>
      <c r="P49" s="9"/>
      <c r="Q49" s="2">
        <f>SUM(OSRRefD21_5_0x)+IFERROR(SUM(OSRRefE21_5_0x),0)</f>
        <v>1840.2999999999997</v>
      </c>
    </row>
    <row r="50" spans="1:17" s="34" customFormat="1" collapsed="1" x14ac:dyDescent="0.25">
      <c r="A50" s="35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SUM(OSRRefD21_6x_0)</f>
        <v>0</v>
      </c>
      <c r="E50" s="1">
        <f>SUM(OSRRefD21_6x_1)</f>
        <v>78.599999999999994</v>
      </c>
      <c r="F50" s="1">
        <f>SUM(OSRRefD21_6x_2)</f>
        <v>165.75</v>
      </c>
      <c r="G50" s="1">
        <f>SUM(OSRRefD21_6x_3)</f>
        <v>0</v>
      </c>
      <c r="H50" s="1">
        <f>SUM(OSRRefD21_6x_4)</f>
        <v>0</v>
      </c>
      <c r="I50" s="1">
        <f>SUM(OSRRefD21_6x_5)</f>
        <v>165.75</v>
      </c>
      <c r="J50" s="1">
        <f>SUM(OSRRefD21_6x_6)</f>
        <v>0</v>
      </c>
      <c r="K50" s="1">
        <f>SUM(OSRRefD21_6x_7)</f>
        <v>0</v>
      </c>
      <c r="L50" s="1">
        <f>SUM(OSRRefD21_6x_8)</f>
        <v>165.75</v>
      </c>
      <c r="M50" s="1">
        <f>SUM(OSRRefD21_6x_9)</f>
        <v>0</v>
      </c>
      <c r="N50" s="1">
        <f>SUM(OSRRefE21_6x_0)</f>
        <v>0</v>
      </c>
      <c r="O50" s="1">
        <f>SUM(OSRRefE21_6x_1)</f>
        <v>0</v>
      </c>
      <c r="Q50" s="2">
        <f>SUM(OSRRefD20_6x)+IFERROR(SUM(OSRRefE20_6x),0)</f>
        <v>575.85</v>
      </c>
    </row>
    <row r="51" spans="1:17" s="34" customFormat="1" hidden="1" outlineLevel="1" x14ac:dyDescent="0.25">
      <c r="A51" s="35"/>
      <c r="B51" s="10" t="str">
        <f>CONCATENATE("          ","6373", " - ","MAINTENANCE CONTRACTS")</f>
        <v xml:space="preserve">          6373 - MAINTENANCE CONTRACTS</v>
      </c>
      <c r="C51" s="11"/>
      <c r="D51" s="2"/>
      <c r="E51" s="2">
        <v>78.599999999999994</v>
      </c>
      <c r="F51" s="2">
        <v>165.75</v>
      </c>
      <c r="G51" s="2"/>
      <c r="H51" s="2"/>
      <c r="I51" s="2">
        <v>165.75</v>
      </c>
      <c r="J51" s="2"/>
      <c r="K51" s="2"/>
      <c r="L51" s="2">
        <v>165.75</v>
      </c>
      <c r="M51" s="2"/>
      <c r="N51" s="2">
        <v>0</v>
      </c>
      <c r="O51" s="2"/>
      <c r="P51" s="9"/>
      <c r="Q51" s="2">
        <f>SUM(OSRRefD21_6_0x)+IFERROR(SUM(OSRRefE21_6_0x),0)</f>
        <v>575.85</v>
      </c>
    </row>
    <row r="52" spans="1:17" s="34" customFormat="1" hidden="1" outlineLevel="1" x14ac:dyDescent="0.25">
      <c r="A52" s="35"/>
      <c r="B52" s="10" t="str">
        <f>CONCATENATE("          ","6375", " - ","OUTSIDE REPAIRS &amp; MAINTENANCE")</f>
        <v xml:space="preserve">          6375 - OUTSIDE REPAIRS &amp; MAINTENANCE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SUM(OSRRefD21_6_1x)+IFERROR(SUM(OSRRefE21_6_1x),0)</f>
        <v>0</v>
      </c>
    </row>
    <row r="53" spans="1:17" s="34" customFormat="1" collapsed="1" x14ac:dyDescent="0.25">
      <c r="A53" s="35"/>
      <c r="B53" s="11" t="str">
        <f>CONCATENATE("     ","Services                                          ")</f>
        <v xml:space="preserve">     Services                                          </v>
      </c>
      <c r="C53" s="11"/>
      <c r="D53" s="1">
        <f>SUM(OSRRefD21_7x_0)</f>
        <v>286.62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0</v>
      </c>
      <c r="N53" s="1">
        <f>SUM(OSRRefE21_7x_0)</f>
        <v>0</v>
      </c>
      <c r="O53" s="1">
        <f>SUM(OSRRefE21_7x_1)</f>
        <v>0</v>
      </c>
      <c r="Q53" s="2">
        <f>SUM(OSRRefD20_7x)+IFERROR(SUM(OSRRefE20_7x),0)</f>
        <v>286.62</v>
      </c>
    </row>
    <row r="54" spans="1:17" s="34" customFormat="1" hidden="1" outlineLevel="1" x14ac:dyDescent="0.25">
      <c r="A54" s="35"/>
      <c r="B54" s="10" t="str">
        <f>CONCATENATE("          ","6282", " - ","JANITORIAL/EXTERMINATOR EXPENS")</f>
        <v xml:space="preserve">          6282 - JANITORIAL/EXTERMINATOR EXPENS</v>
      </c>
      <c r="C54" s="11"/>
      <c r="D54" s="2">
        <v>286.62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286.62</v>
      </c>
    </row>
    <row r="55" spans="1:17" s="34" customFormat="1" hidden="1" outlineLevel="1" x14ac:dyDescent="0.25">
      <c r="A55" s="35"/>
      <c r="B55" s="10" t="str">
        <f>CONCATENATE("          ","6286", " - ","LAUNDRY EXPENSE")</f>
        <v xml:space="preserve">          6286 - LAUNDRY EXPENSE</v>
      </c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>
        <v>0</v>
      </c>
      <c r="O55" s="2">
        <v>0</v>
      </c>
      <c r="P55" s="9"/>
      <c r="Q55" s="2">
        <f>SUM(OSRRefD21_7_1x)+IFERROR(SUM(OSRRefE21_7_1x),0)</f>
        <v>0</v>
      </c>
    </row>
    <row r="56" spans="1:17" s="34" customFormat="1" collapsed="1" x14ac:dyDescent="0.25">
      <c r="A56" s="35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SUM(OSRRefD21_8x_0)</f>
        <v>0</v>
      </c>
      <c r="E56" s="1">
        <f>SUM(OSRRefD21_8x_1)</f>
        <v>0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SUM(OSRRefD21_8x_8)</f>
        <v>0</v>
      </c>
      <c r="M56" s="1">
        <f>SUM(OSRRefD21_8x_9)</f>
        <v>0</v>
      </c>
      <c r="N56" s="1">
        <f>SUM(OSRRefE21_8x_0)</f>
        <v>0</v>
      </c>
      <c r="O56" s="1">
        <f>SUM(OSRRefE21_8x_1)</f>
        <v>0</v>
      </c>
      <c r="Q56" s="2">
        <f>SUM(OSRRefD20_8x)+IFERROR(SUM(OSRRefE20_8x),0)</f>
        <v>0</v>
      </c>
    </row>
    <row r="57" spans="1:17" s="34" customFormat="1" hidden="1" outlineLevel="1" x14ac:dyDescent="0.25">
      <c r="A57" s="35"/>
      <c r="B57" s="10" t="str">
        <f>CONCATENATE("          ","6235", " - ","COVID-19 EXPENSES")</f>
        <v xml:space="preserve">          6235 - COVID-19 EXPENSES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SUM(OSRRefD21_8_0x)+IFERROR(SUM(OSRRefE21_8_0x),0)</f>
        <v>0</v>
      </c>
    </row>
    <row r="58" spans="1:17" s="34" customFormat="1" hidden="1" outlineLevel="1" x14ac:dyDescent="0.25">
      <c r="A58" s="35"/>
      <c r="B58" s="10" t="str">
        <f>CONCATENATE("          ","6243", " - ","PAPER SUPPLIES")</f>
        <v xml:space="preserve">          6243 - PAPER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SUM(OSRRefD21_8_1x)+IFERROR(SUM(OSRRefE21_8_1x),0)</f>
        <v>0</v>
      </c>
    </row>
    <row r="59" spans="1:17" s="34" customFormat="1" collapsed="1" x14ac:dyDescent="0.25">
      <c r="A59" s="35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SUM(OSRRefD21_9x_0)</f>
        <v>21</v>
      </c>
      <c r="E59" s="1">
        <f>SUM(OSRRefD21_9x_1)</f>
        <v>21</v>
      </c>
      <c r="F59" s="1">
        <f>SUM(OSRRefD21_9x_2)</f>
        <v>0</v>
      </c>
      <c r="G59" s="1">
        <f>SUM(OSRRefD21_9x_3)</f>
        <v>7.7</v>
      </c>
      <c r="H59" s="1">
        <f>SUM(OSRRefD21_9x_4)</f>
        <v>138</v>
      </c>
      <c r="I59" s="1">
        <f>SUM(OSRRefD21_9x_5)</f>
        <v>-138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SUM(OSRRefE21_9x_0)</f>
        <v>0</v>
      </c>
      <c r="O59" s="1">
        <f>SUM(OSRRefE21_9x_1)</f>
        <v>0</v>
      </c>
      <c r="Q59" s="2">
        <f>SUM(OSRRefD20_9x)+IFERROR(SUM(OSRRefE20_9x),0)</f>
        <v>49.699999999999989</v>
      </c>
    </row>
    <row r="60" spans="1:17" s="34" customFormat="1" hidden="1" outlineLevel="1" x14ac:dyDescent="0.25">
      <c r="A60" s="35"/>
      <c r="B60" s="10" t="str">
        <f>CONCATENATE("          ","6303", " - ","DATA PHONE LINES")</f>
        <v xml:space="preserve">          6303 - DATA PHONE LINES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SUM(OSRRefD21_9_0x)+IFERROR(SUM(OSRRefE21_9_0x),0)</f>
        <v>0</v>
      </c>
    </row>
    <row r="61" spans="1:17" s="34" customFormat="1" hidden="1" outlineLevel="1" x14ac:dyDescent="0.25">
      <c r="A61" s="35"/>
      <c r="B61" s="10" t="str">
        <f>CONCATENATE("          ","6309", " - ","TELEPHONE")</f>
        <v xml:space="preserve">          6309 - TELEPHONE</v>
      </c>
      <c r="C61" s="11"/>
      <c r="D61" s="2">
        <v>21</v>
      </c>
      <c r="E61" s="2">
        <v>21</v>
      </c>
      <c r="F61" s="2"/>
      <c r="G61" s="2">
        <v>7.7</v>
      </c>
      <c r="H61" s="2">
        <v>138</v>
      </c>
      <c r="I61" s="2">
        <v>-138</v>
      </c>
      <c r="J61" s="2"/>
      <c r="K61" s="2"/>
      <c r="L61" s="2"/>
      <c r="M61" s="2"/>
      <c r="N61" s="2">
        <v>0</v>
      </c>
      <c r="O61" s="2">
        <v>0</v>
      </c>
      <c r="P61" s="9"/>
      <c r="Q61" s="2">
        <f>SUM(OSRRefD21_9_1x)+IFERROR(SUM(OSRRefE21_9_1x),0)</f>
        <v>49.699999999999989</v>
      </c>
    </row>
    <row r="62" spans="1:17" s="30" customFormat="1" x14ac:dyDescent="0.25">
      <c r="A62" s="21"/>
      <c r="B62" s="21"/>
      <c r="C62" s="2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9" customFormat="1" x14ac:dyDescent="0.25">
      <c r="A63" s="23"/>
      <c r="B63" s="16" t="s">
        <v>291</v>
      </c>
      <c r="C63" s="22"/>
      <c r="D63" s="3">
        <f t="shared" ref="D63:M63" si="3">0</f>
        <v>0</v>
      </c>
      <c r="E63" s="3">
        <f t="shared" si="3"/>
        <v>0</v>
      </c>
      <c r="F63" s="3">
        <f t="shared" si="3"/>
        <v>0</v>
      </c>
      <c r="G63" s="3">
        <f t="shared" si="3"/>
        <v>0</v>
      </c>
      <c r="H63" s="3">
        <f t="shared" si="3"/>
        <v>0</v>
      </c>
      <c r="I63" s="3">
        <f t="shared" si="3"/>
        <v>0</v>
      </c>
      <c r="J63" s="3">
        <f t="shared" si="3"/>
        <v>0</v>
      </c>
      <c r="K63" s="3">
        <f t="shared" si="3"/>
        <v>0</v>
      </c>
      <c r="L63" s="3">
        <f t="shared" si="3"/>
        <v>0</v>
      </c>
      <c r="M63" s="3">
        <f t="shared" si="3"/>
        <v>0</v>
      </c>
      <c r="N63" s="3"/>
      <c r="O63" s="3"/>
      <c r="Q63" s="2">
        <f>SUM(OSRRefD23_0x)+IFERROR(SUM(OSRRefE23_0x),0)</f>
        <v>0</v>
      </c>
    </row>
    <row r="64" spans="1:17" x14ac:dyDescent="0.25">
      <c r="A64" s="5"/>
      <c r="B64" s="6"/>
      <c r="C64" s="6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x14ac:dyDescent="0.25">
      <c r="A65" s="6"/>
      <c r="B65" s="17" t="s">
        <v>274</v>
      </c>
      <c r="C65" s="17"/>
      <c r="D65" s="8">
        <f t="shared" ref="D65:O65" si="4">IFERROR(+D17-D20+D63, 0)</f>
        <v>-4118.5600000000004</v>
      </c>
      <c r="E65" s="8">
        <f t="shared" si="4"/>
        <v>-157.63</v>
      </c>
      <c r="F65" s="8">
        <f t="shared" si="4"/>
        <v>-223.78</v>
      </c>
      <c r="G65" s="8">
        <f t="shared" si="4"/>
        <v>-65.73</v>
      </c>
      <c r="H65" s="8">
        <f t="shared" si="4"/>
        <v>-196.03</v>
      </c>
      <c r="I65" s="8">
        <f t="shared" si="4"/>
        <v>-85.78</v>
      </c>
      <c r="J65" s="8">
        <f t="shared" si="4"/>
        <v>-58.03</v>
      </c>
      <c r="K65" s="8">
        <f t="shared" si="4"/>
        <v>-58.03</v>
      </c>
      <c r="L65" s="8">
        <f t="shared" si="4"/>
        <v>-223.78</v>
      </c>
      <c r="M65" s="8">
        <f t="shared" si="4"/>
        <v>-58.03</v>
      </c>
      <c r="N65" s="8">
        <f t="shared" si="4"/>
        <v>-630</v>
      </c>
      <c r="O65" s="8">
        <f t="shared" si="4"/>
        <v>-630</v>
      </c>
      <c r="Q65" s="8">
        <f>IFERROR(+Q17-Q20+Q63, 0)</f>
        <v>-6505.3799999999992</v>
      </c>
    </row>
    <row r="66" spans="1:17" s="6" customFormat="1" x14ac:dyDescent="0.25">
      <c r="B66" s="16"/>
      <c r="C66" s="16"/>
      <c r="D66" s="4">
        <f t="shared" ref="D66:O66" si="5">IFERROR(D65/D10, 0)</f>
        <v>0</v>
      </c>
      <c r="E66" s="4">
        <f t="shared" si="5"/>
        <v>0</v>
      </c>
      <c r="F66" s="4">
        <f t="shared" si="5"/>
        <v>0</v>
      </c>
      <c r="G66" s="4">
        <f t="shared" si="5"/>
        <v>0</v>
      </c>
      <c r="H66" s="4">
        <f t="shared" si="5"/>
        <v>0</v>
      </c>
      <c r="I66" s="4">
        <f t="shared" si="5"/>
        <v>0</v>
      </c>
      <c r="J66" s="4">
        <f t="shared" si="5"/>
        <v>0</v>
      </c>
      <c r="K66" s="4">
        <f t="shared" si="5"/>
        <v>0</v>
      </c>
      <c r="L66" s="4">
        <f t="shared" si="5"/>
        <v>0</v>
      </c>
      <c r="M66" s="4">
        <f t="shared" si="5"/>
        <v>0</v>
      </c>
      <c r="N66" s="4">
        <f t="shared" si="5"/>
        <v>0</v>
      </c>
      <c r="O66" s="4">
        <f t="shared" si="5"/>
        <v>0</v>
      </c>
      <c r="P66" s="18"/>
      <c r="Q66" s="4">
        <f>IFERROR(Q65/Q10, 0)</f>
        <v>0</v>
      </c>
    </row>
    <row r="67" spans="1:17" x14ac:dyDescent="0.25">
      <c r="A67" s="5"/>
      <c r="B67" s="6"/>
      <c r="C67" s="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x14ac:dyDescent="0.25">
      <c r="A68" s="25"/>
      <c r="B68" s="6" t="s">
        <v>125</v>
      </c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2">
        <f>SUM(OSRRefD28_0x)+IFERROR(SUM(OSRRefE28_0x),0)</f>
        <v>0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ht="15.75" thickBot="1" x14ac:dyDescent="0.3">
      <c r="A70" s="6"/>
      <c r="B70" s="17" t="s">
        <v>124</v>
      </c>
      <c r="C70" s="17"/>
      <c r="D70" s="7">
        <f t="shared" ref="D70:O70" si="6">IFERROR(+D65-D68, 0)</f>
        <v>-4118.5600000000004</v>
      </c>
      <c r="E70" s="7">
        <f t="shared" si="6"/>
        <v>-157.63</v>
      </c>
      <c r="F70" s="7">
        <f t="shared" si="6"/>
        <v>-223.78</v>
      </c>
      <c r="G70" s="7">
        <f t="shared" si="6"/>
        <v>-65.73</v>
      </c>
      <c r="H70" s="7">
        <f t="shared" si="6"/>
        <v>-196.03</v>
      </c>
      <c r="I70" s="7">
        <f t="shared" si="6"/>
        <v>-85.78</v>
      </c>
      <c r="J70" s="7">
        <f t="shared" si="6"/>
        <v>-58.03</v>
      </c>
      <c r="K70" s="7">
        <f t="shared" si="6"/>
        <v>-58.03</v>
      </c>
      <c r="L70" s="7">
        <f t="shared" si="6"/>
        <v>-223.78</v>
      </c>
      <c r="M70" s="7">
        <f t="shared" si="6"/>
        <v>-58.03</v>
      </c>
      <c r="N70" s="7">
        <f t="shared" si="6"/>
        <v>-630</v>
      </c>
      <c r="O70" s="7">
        <f t="shared" si="6"/>
        <v>-630</v>
      </c>
      <c r="Q70" s="7">
        <f>IFERROR(+Q65-Q68, 0)</f>
        <v>-6505.3799999999992</v>
      </c>
    </row>
    <row r="71" spans="1:17" ht="15.75" thickTop="1" x14ac:dyDescent="0.25">
      <c r="A71" s="5"/>
      <c r="B71" s="5"/>
      <c r="C71" s="5"/>
      <c r="D71" s="4">
        <f t="shared" ref="D71:O71" si="7">IFERROR(D70/D10, 0)</f>
        <v>0</v>
      </c>
      <c r="E71" s="4">
        <f t="shared" si="7"/>
        <v>0</v>
      </c>
      <c r="F71" s="4">
        <f t="shared" si="7"/>
        <v>0</v>
      </c>
      <c r="G71" s="4">
        <f t="shared" si="7"/>
        <v>0</v>
      </c>
      <c r="H71" s="4">
        <f t="shared" si="7"/>
        <v>0</v>
      </c>
      <c r="I71" s="4">
        <f t="shared" si="7"/>
        <v>0</v>
      </c>
      <c r="J71" s="4">
        <f t="shared" si="7"/>
        <v>0</v>
      </c>
      <c r="K71" s="4">
        <f t="shared" si="7"/>
        <v>0</v>
      </c>
      <c r="L71" s="4">
        <f t="shared" si="7"/>
        <v>0</v>
      </c>
      <c r="M71" s="4">
        <f t="shared" si="7"/>
        <v>0</v>
      </c>
      <c r="N71" s="4">
        <f t="shared" si="7"/>
        <v>0</v>
      </c>
      <c r="O71" s="4">
        <f t="shared" si="7"/>
        <v>0</v>
      </c>
      <c r="P71" s="18"/>
      <c r="Q71" s="4">
        <f>IFERROR(Q70/Q10, 0)</f>
        <v>0</v>
      </c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x14ac:dyDescent="0.2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ht="15.75" thickBot="1" x14ac:dyDescent="0.3">
      <c r="A74" s="6"/>
      <c r="B74" s="17" t="s">
        <v>292</v>
      </c>
      <c r="C74" s="17"/>
      <c r="D74" s="7">
        <f t="shared" ref="D74:O74" si="8">IFERROR(SUM(D70:D73), 0)</f>
        <v>-4118.5600000000004</v>
      </c>
      <c r="E74" s="7">
        <f t="shared" si="8"/>
        <v>-157.63</v>
      </c>
      <c r="F74" s="7">
        <f t="shared" si="8"/>
        <v>-223.78</v>
      </c>
      <c r="G74" s="7">
        <f t="shared" si="8"/>
        <v>-65.73</v>
      </c>
      <c r="H74" s="7">
        <f t="shared" si="8"/>
        <v>-196.03</v>
      </c>
      <c r="I74" s="7">
        <f t="shared" si="8"/>
        <v>-85.78</v>
      </c>
      <c r="J74" s="7">
        <f t="shared" si="8"/>
        <v>-58.03</v>
      </c>
      <c r="K74" s="7">
        <f t="shared" si="8"/>
        <v>-58.03</v>
      </c>
      <c r="L74" s="7">
        <f t="shared" si="8"/>
        <v>-223.78</v>
      </c>
      <c r="M74" s="7">
        <f t="shared" si="8"/>
        <v>-58.03</v>
      </c>
      <c r="N74" s="7">
        <f t="shared" si="8"/>
        <v>-630</v>
      </c>
      <c r="O74" s="7">
        <f t="shared" si="8"/>
        <v>-630</v>
      </c>
      <c r="Q74" s="7">
        <f>IFERROR(SUM(Q70:Q73), 0)</f>
        <v>-6505.3799999999992</v>
      </c>
    </row>
    <row r="75" spans="1:17" ht="15.75" thickTop="1" x14ac:dyDescent="0.25">
      <c r="A75" s="5"/>
      <c r="C75" s="5"/>
      <c r="D75" s="4">
        <f t="shared" ref="D75:O75" si="9">IFERROR(D74/D10, 0)</f>
        <v>0</v>
      </c>
      <c r="E75" s="4">
        <f t="shared" si="9"/>
        <v>0</v>
      </c>
      <c r="F75" s="4">
        <f t="shared" si="9"/>
        <v>0</v>
      </c>
      <c r="G75" s="4">
        <f t="shared" si="9"/>
        <v>0</v>
      </c>
      <c r="H75" s="4">
        <f t="shared" si="9"/>
        <v>0</v>
      </c>
      <c r="I75" s="4">
        <f t="shared" si="9"/>
        <v>0</v>
      </c>
      <c r="J75" s="4">
        <f t="shared" si="9"/>
        <v>0</v>
      </c>
      <c r="K75" s="4">
        <f t="shared" si="9"/>
        <v>0</v>
      </c>
      <c r="L75" s="4">
        <f t="shared" si="9"/>
        <v>0</v>
      </c>
      <c r="M75" s="4">
        <f t="shared" si="9"/>
        <v>0</v>
      </c>
      <c r="N75" s="4">
        <f t="shared" si="9"/>
        <v>0</v>
      </c>
      <c r="O75" s="4">
        <f t="shared" si="9"/>
        <v>0</v>
      </c>
      <c r="P75" s="18"/>
      <c r="Q75" s="4">
        <f>IFERROR(Q74/Q10, 0)</f>
        <v>0</v>
      </c>
    </row>
    <row r="76" spans="1:17" x14ac:dyDescent="0.25">
      <c r="A76" s="5"/>
      <c r="B76" s="27">
        <v>44330.012769791669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25">
      <c r="A77" s="5"/>
      <c r="B77" s="31" t="s">
        <v>54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25">
      <c r="A78" s="5"/>
      <c r="B78" s="26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  <row r="79" spans="1:17" x14ac:dyDescent="0.25"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Q7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","4058", " - ","TAXABLE SALES-FOOD")</f>
        <v xml:space="preserve">          4058 - TAXABLE SALES-FOOD</v>
      </c>
      <c r="C12" s="22"/>
      <c r="D12" s="2">
        <f>--974.91</f>
        <v>974.91</v>
      </c>
      <c r="E12" s="2">
        <f t="shared" ref="E12:M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25">
      <c r="A13" s="23"/>
      <c r="B13" s="10" t="str">
        <f>CONCATENATE("          ","4100", " - ","NON-TAXABLE SALES")</f>
        <v xml:space="preserve">          4100 - NON-TAXABLE SALES</v>
      </c>
      <c r="C13" s="22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3"/>
      <c r="B15" s="16" t="s">
        <v>217</v>
      </c>
      <c r="C15" s="22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SUM(OSRRefD14x_7)</f>
        <v>-2369.56</v>
      </c>
      <c r="L15" s="3">
        <f>SUM(OSRRefD14x_8)</f>
        <v>0</v>
      </c>
      <c r="M15" s="3">
        <f>SUM(OSRRefD14x_9)</f>
        <v>0</v>
      </c>
      <c r="N15" s="3">
        <f>SUM(OSRRefE14x_0)</f>
        <v>0</v>
      </c>
      <c r="O15" s="3">
        <f>SUM(OSRRefE14x_1)</f>
        <v>0</v>
      </c>
      <c r="Q15" s="3">
        <f>SUM(OSRRefG14x)</f>
        <v>-2369.56</v>
      </c>
    </row>
    <row r="16" spans="1:18" s="9" customFormat="1" hidden="1" outlineLevel="1" x14ac:dyDescent="0.25">
      <c r="A16" s="23"/>
      <c r="B16" s="10" t="str">
        <f>CONCATENATE("          ","5000", " - ","PURCHASES @ COST")</f>
        <v xml:space="preserve">          5000 - PURCHASES @ COST</v>
      </c>
      <c r="C16" s="22"/>
      <c r="D16" s="2"/>
      <c r="E16" s="2"/>
      <c r="F16" s="2"/>
      <c r="G16" s="2"/>
      <c r="H16" s="2"/>
      <c r="I16" s="2"/>
      <c r="J16" s="2"/>
      <c r="K16" s="2"/>
      <c r="L16" s="2"/>
      <c r="M16" s="2"/>
      <c r="N16" s="2">
        <v>0</v>
      </c>
      <c r="O16" s="2">
        <v>0</v>
      </c>
      <c r="Q16" s="2">
        <f>SUM(OSRRefD14_0x)+IFERROR(SUM(OSRRefE14_0x),0)</f>
        <v>0</v>
      </c>
    </row>
    <row r="17" spans="1:17" s="9" customFormat="1" hidden="1" outlineLevel="1" x14ac:dyDescent="0.25">
      <c r="A17" s="23"/>
      <c r="B17" s="10" t="str">
        <f>CONCATENATE("          ","5053", " - ","PURCHASES @ COST-FOOD")</f>
        <v xml:space="preserve">          5053 - PURCHASES @ COST-FOOD</v>
      </c>
      <c r="C17" s="22"/>
      <c r="D17" s="2"/>
      <c r="E17" s="2"/>
      <c r="F17" s="2"/>
      <c r="G17" s="2"/>
      <c r="H17" s="2"/>
      <c r="I17" s="2"/>
      <c r="J17" s="2"/>
      <c r="K17" s="2">
        <v>-2369.56</v>
      </c>
      <c r="L17" s="2"/>
      <c r="M17" s="2"/>
      <c r="N17" s="2"/>
      <c r="O17" s="2"/>
      <c r="Q17" s="2">
        <f>SUM(OSRRefD14_1x)+IFERROR(SUM(OSRRefE14_1x),0)</f>
        <v>-2369.56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8">
        <f t="shared" ref="D19:O19" si="2">IFERROR(+D10-D15, 0)</f>
        <v>974.91</v>
      </c>
      <c r="E19" s="8">
        <f t="shared" si="2"/>
        <v>0</v>
      </c>
      <c r="F19" s="8">
        <f t="shared" si="2"/>
        <v>0</v>
      </c>
      <c r="G19" s="8">
        <f t="shared" si="2"/>
        <v>0</v>
      </c>
      <c r="H19" s="8">
        <f t="shared" si="2"/>
        <v>0</v>
      </c>
      <c r="I19" s="8">
        <f t="shared" si="2"/>
        <v>0</v>
      </c>
      <c r="J19" s="8">
        <f t="shared" si="2"/>
        <v>0</v>
      </c>
      <c r="K19" s="8">
        <f t="shared" si="2"/>
        <v>2369.56</v>
      </c>
      <c r="L19" s="8">
        <f t="shared" si="2"/>
        <v>0</v>
      </c>
      <c r="M19" s="8">
        <f t="shared" si="2"/>
        <v>0</v>
      </c>
      <c r="N19" s="8">
        <f t="shared" si="2"/>
        <v>0</v>
      </c>
      <c r="O19" s="8">
        <f t="shared" si="2"/>
        <v>0</v>
      </c>
      <c r="Q19" s="8">
        <f>IFERROR(+Q10-Q15, 0)</f>
        <v>3344.47</v>
      </c>
    </row>
    <row r="20" spans="1:17" s="6" customFormat="1" x14ac:dyDescent="0.25">
      <c r="B20" s="16"/>
      <c r="C20" s="16"/>
      <c r="D20" s="4">
        <f t="shared" ref="D20:O20" si="3">IFERROR(D19/D10, 0)</f>
        <v>1</v>
      </c>
      <c r="E20" s="4">
        <f t="shared" si="3"/>
        <v>0</v>
      </c>
      <c r="F20" s="4">
        <f t="shared" si="3"/>
        <v>0</v>
      </c>
      <c r="G20" s="4">
        <f t="shared" si="3"/>
        <v>0</v>
      </c>
      <c r="H20" s="4">
        <f t="shared" si="3"/>
        <v>0</v>
      </c>
      <c r="I20" s="4">
        <f t="shared" si="3"/>
        <v>0</v>
      </c>
      <c r="J20" s="4">
        <f t="shared" si="3"/>
        <v>0</v>
      </c>
      <c r="K20" s="4">
        <f t="shared" si="3"/>
        <v>0</v>
      </c>
      <c r="L20" s="4">
        <f t="shared" si="3"/>
        <v>0</v>
      </c>
      <c r="M20" s="4">
        <f t="shared" si="3"/>
        <v>0</v>
      </c>
      <c r="N20" s="4">
        <f t="shared" si="3"/>
        <v>0</v>
      </c>
      <c r="O20" s="4">
        <f t="shared" si="3"/>
        <v>0</v>
      </c>
      <c r="P20" s="18"/>
      <c r="Q20" s="4">
        <f>IFERROR(Q19/Q10, 0)</f>
        <v>3.4305423064693152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254</v>
      </c>
      <c r="C22" s="6"/>
      <c r="D22" s="14">
        <f>SUM(OSRRefD20x_0)</f>
        <v>2674.56</v>
      </c>
      <c r="E22" s="14">
        <f>SUM(OSRRefD20x_1)</f>
        <v>1871.84</v>
      </c>
      <c r="F22" s="14">
        <f>SUM(OSRRefD20x_2)</f>
        <v>2251.14</v>
      </c>
      <c r="G22" s="14">
        <f>SUM(OSRRefD20x_3)</f>
        <v>1825.26</v>
      </c>
      <c r="H22" s="14">
        <f>SUM(OSRRefD20x_4)</f>
        <v>1825.26</v>
      </c>
      <c r="I22" s="14">
        <f>SUM(OSRRefD20x_5)</f>
        <v>1954.84</v>
      </c>
      <c r="J22" s="14">
        <f>SUM(OSRRefD20x_6)</f>
        <v>1825.26</v>
      </c>
      <c r="K22" s="14">
        <f>SUM(OSRRefD20x_7)</f>
        <v>1909.09</v>
      </c>
      <c r="L22" s="14">
        <f>SUM(OSRRefD20x_8)</f>
        <v>1954.84</v>
      </c>
      <c r="M22" s="14">
        <f>SUM(OSRRefD20x_9)</f>
        <v>1825.26</v>
      </c>
      <c r="N22" s="14">
        <f>SUM(OSRRefE20x_0)</f>
        <v>1972</v>
      </c>
      <c r="O22" s="14">
        <f>SUM(OSRRefE20x_1)</f>
        <v>1280</v>
      </c>
      <c r="Q22" s="14">
        <f>SUM(OSRRefG20x)</f>
        <v>23169.35</v>
      </c>
    </row>
    <row r="23" spans="1:17" s="34" customFormat="1" collapsed="1" x14ac:dyDescent="0.25">
      <c r="A23" s="35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702.51</v>
      </c>
      <c r="E23" s="1">
        <f>SUM(OSRRefD21_0x_1)</f>
        <v>0</v>
      </c>
      <c r="F23" s="1">
        <f>SUM(OSRRefD21_0x_2)</f>
        <v>0</v>
      </c>
      <c r="G23" s="1">
        <f>SUM(OSRRefD21_0x_3)</f>
        <v>0</v>
      </c>
      <c r="H23" s="1">
        <f>SUM(OSRRefD21_0x_4)</f>
        <v>0</v>
      </c>
      <c r="I23" s="1">
        <f>SUM(OSRRefD21_0x_5)</f>
        <v>0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0</v>
      </c>
      <c r="N23" s="1">
        <f>SUM(OSRRefE21_0x_0)</f>
        <v>0</v>
      </c>
      <c r="O23" s="1">
        <f>SUM(OSRRefE21_0x_1)</f>
        <v>0</v>
      </c>
      <c r="Q23" s="2">
        <f>SUM(OSRRefD20_0x)+IFERROR(SUM(OSRRefE20_0x),0)</f>
        <v>702.51</v>
      </c>
    </row>
    <row r="24" spans="1:17" s="34" customFormat="1" hidden="1" outlineLevel="1" x14ac:dyDescent="0.25">
      <c r="A24" s="35"/>
      <c r="B24" s="10" t="str">
        <f>CONCATENATE("          ","6111", " - ","F.I.C.A.")</f>
        <v xml:space="preserve">          6111 - F.I.C.A.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SUM(OSRRefD21_0_0x)+IFERROR(SUM(OSRRefE21_0_0x),0)</f>
        <v>0</v>
      </c>
    </row>
    <row r="25" spans="1:17" s="34" customFormat="1" hidden="1" outlineLevel="1" x14ac:dyDescent="0.25">
      <c r="A25" s="35"/>
      <c r="B25" s="10" t="str">
        <f>CONCATENATE("          ","6112", " - ","COMPENSATION INSURANCE")</f>
        <v xml:space="preserve">          6112 - COMPENSATION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SUM(OSRRefD21_0_1x)+IFERROR(SUM(OSRRefE21_0_1x),0)</f>
        <v>0</v>
      </c>
    </row>
    <row r="26" spans="1:17" s="34" customFormat="1" hidden="1" outlineLevel="1" x14ac:dyDescent="0.25">
      <c r="A26" s="35"/>
      <c r="B26" s="10" t="str">
        <f>CONCATENATE("          ","6113", " - ","GROUP INSURANCE")</f>
        <v xml:space="preserve">          6113 - GROUP INSURANCE</v>
      </c>
      <c r="C26" s="11"/>
      <c r="D26" s="2">
        <v>702.51</v>
      </c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SUM(OSRRefD21_0_2x)+IFERROR(SUM(OSRRefE21_0_2x),0)</f>
        <v>702.51</v>
      </c>
    </row>
    <row r="27" spans="1:17" s="34" customFormat="1" hidden="1" outlineLevel="1" x14ac:dyDescent="0.25">
      <c r="A27" s="35"/>
      <c r="B27" s="10" t="str">
        <f>CONCATENATE("          ","6114", " - ","STATE UNEMPLOYMENT INSURANCE")</f>
        <v xml:space="preserve">          6114 - STATE UNEMPLOYMENT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SUM(OSRRefD21_0_3x)+IFERROR(SUM(OSRRefE21_0_3x),0)</f>
        <v>0</v>
      </c>
    </row>
    <row r="28" spans="1:17" s="34" customFormat="1" hidden="1" outlineLevel="1" x14ac:dyDescent="0.25">
      <c r="A28" s="35"/>
      <c r="B28" s="10" t="str">
        <f>CONCATENATE("          ","6115", " - ","P.E.R.S.")</f>
        <v xml:space="preserve">          6115 - P.E.R.S.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SUM(OSRRefD21_0_4x)+IFERROR(SUM(OSRRefE21_0_4x),0)</f>
        <v>0</v>
      </c>
    </row>
    <row r="29" spans="1:17" s="34" customFormat="1" hidden="1" outlineLevel="1" x14ac:dyDescent="0.25">
      <c r="A29" s="35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4" customFormat="1" hidden="1" outlineLevel="1" x14ac:dyDescent="0.25">
      <c r="A30" s="35"/>
      <c r="B30" s="10" t="str">
        <f>CONCATENATE("          ","6118", " - ","VACATION")</f>
        <v xml:space="preserve">          6118 - VACATION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SUM(OSRRefD21_0_6x)+IFERROR(SUM(OSRRefE21_0_6x),0)</f>
        <v>0</v>
      </c>
    </row>
    <row r="31" spans="1:17" s="34" customFormat="1" hidden="1" outlineLevel="1" x14ac:dyDescent="0.25">
      <c r="A31" s="35"/>
      <c r="B31" s="10" t="str">
        <f>CONCATENATE("          ","6119", " - ","SICK LEAVE")</f>
        <v xml:space="preserve">          6119 - SICK LEAVE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SUM(OSRRefD21_0_7x)+IFERROR(SUM(OSRRefE21_0_7x),0)</f>
        <v>0</v>
      </c>
    </row>
    <row r="32" spans="1:17" s="34" customFormat="1" hidden="1" outlineLevel="1" x14ac:dyDescent="0.25">
      <c r="A32" s="35"/>
      <c r="B32" s="10" t="str">
        <f>CONCATENATE("          ","6156", " - ","EMPLOYEE MEALS")</f>
        <v xml:space="preserve">          6156 - EMPLOYEE MEALS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SUM(OSRRefD21_0_8x)+IFERROR(SUM(OSRRefE21_0_8x),0)</f>
        <v>0</v>
      </c>
    </row>
    <row r="33" spans="1:17" s="34" customFormat="1" collapsed="1" x14ac:dyDescent="0.25">
      <c r="A33" s="35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0</v>
      </c>
      <c r="E33" s="1">
        <f>SUM(OSRRefD21_1x_1)</f>
        <v>0</v>
      </c>
      <c r="F33" s="1">
        <f>SUM(OSRRefD21_1x_2)</f>
        <v>0</v>
      </c>
      <c r="G33" s="1">
        <f>SUM(OSRRefD21_1x_3)</f>
        <v>0</v>
      </c>
      <c r="H33" s="1">
        <f>SUM(OSRRefD21_1x_4)</f>
        <v>0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SUM(OSRRefD21_1x_9)</f>
        <v>0</v>
      </c>
      <c r="N33" s="1">
        <f>SUM(OSRRefE21_1x_0)</f>
        <v>0</v>
      </c>
      <c r="O33" s="1">
        <f>SUM(OSRRefE21_1x_1)</f>
        <v>0</v>
      </c>
      <c r="Q33" s="2">
        <f>SUM(OSRRefD20_1x)+IFERROR(SUM(OSRRefE20_1x),0)</f>
        <v>0</v>
      </c>
    </row>
    <row r="34" spans="1:17" s="34" customFormat="1" hidden="1" outlineLevel="1" x14ac:dyDescent="0.25">
      <c r="A34" s="35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4" customFormat="1" hidden="1" outlineLevel="1" x14ac:dyDescent="0.25">
      <c r="A35" s="35"/>
      <c r="B35" s="10" t="str">
        <f>CONCATENATE("          ","6002", " - ","STAFF SALARIES")</f>
        <v xml:space="preserve">          6002 - STAFF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SUM(OSRRefD21_1_1x)+IFERROR(SUM(OSRRefE21_1_1x),0)</f>
        <v>0</v>
      </c>
    </row>
    <row r="36" spans="1:17" s="34" customFormat="1" hidden="1" outlineLevel="1" x14ac:dyDescent="0.25">
      <c r="A36" s="35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4" customFormat="1" hidden="1" outlineLevel="1" x14ac:dyDescent="0.25">
      <c r="A37" s="35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SUM(OSRRefD21_1_3x)+IFERROR(SUM(OSRRefE21_1_3x),0)</f>
        <v>0</v>
      </c>
    </row>
    <row r="38" spans="1:17" s="34" customFormat="1" hidden="1" outlineLevel="1" x14ac:dyDescent="0.25">
      <c r="A38" s="35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SUM(OSRRefD21_1_4x)+IFERROR(SUM(OSRRefE21_1_4x),0)</f>
        <v>0</v>
      </c>
    </row>
    <row r="39" spans="1:17" s="34" customFormat="1" hidden="1" outlineLevel="1" x14ac:dyDescent="0.25">
      <c r="A39" s="35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4" customFormat="1" hidden="1" outlineLevel="1" x14ac:dyDescent="0.25">
      <c r="A40" s="35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SUM(OSRRefD21_1_6x)+IFERROR(SUM(OSRRefE21_1_6x),0)</f>
        <v>0</v>
      </c>
    </row>
    <row r="41" spans="1:17" s="34" customFormat="1" hidden="1" outlineLevel="1" x14ac:dyDescent="0.25">
      <c r="A41" s="35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SUM(OSRRefD21_1_7x)+IFERROR(SUM(OSRRefE21_1_7x),0)</f>
        <v>0</v>
      </c>
    </row>
    <row r="42" spans="1:17" s="34" customFormat="1" hidden="1" outlineLevel="1" x14ac:dyDescent="0.25">
      <c r="A42" s="35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4" customFormat="1" hidden="1" outlineLevel="1" x14ac:dyDescent="0.25">
      <c r="A43" s="35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4" customFormat="1" collapsed="1" x14ac:dyDescent="0.25">
      <c r="A44" s="35"/>
      <c r="B44" s="11" t="str">
        <f>CONCATENATE("     ","Advertising/Promo                                 ")</f>
        <v xml:space="preserve">     Advertising/Promo                                 </v>
      </c>
      <c r="C44" s="11"/>
      <c r="D44" s="1">
        <f>SUM(OSRRefD21_2x_0)</f>
        <v>0</v>
      </c>
      <c r="E44" s="1">
        <f>SUM(OSRRefD21_2x_1)</f>
        <v>0</v>
      </c>
      <c r="F44" s="1">
        <f>SUM(OSRRefD21_2x_2)</f>
        <v>0</v>
      </c>
      <c r="G44" s="1">
        <f>SUM(OSRRefD21_2x_3)</f>
        <v>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83.83</v>
      </c>
      <c r="L44" s="1">
        <f>SUM(OSRRefD21_2x_8)</f>
        <v>0</v>
      </c>
      <c r="M44" s="1">
        <f>SUM(OSRRefD21_2x_9)</f>
        <v>0</v>
      </c>
      <c r="N44" s="1">
        <f>SUM(OSRRefE21_2x_0)</f>
        <v>0</v>
      </c>
      <c r="O44" s="1">
        <f>SUM(OSRRefE21_2x_1)</f>
        <v>0</v>
      </c>
      <c r="Q44" s="2">
        <f>SUM(OSRRefD20_2x)+IFERROR(SUM(OSRRefE20_2x),0)</f>
        <v>83.83</v>
      </c>
    </row>
    <row r="45" spans="1:17" s="34" customFormat="1" hidden="1" outlineLevel="1" x14ac:dyDescent="0.25">
      <c r="A45" s="35"/>
      <c r="B45" s="10" t="str">
        <f>CONCATENATE("          ","6362", " - ","ADVERTISING EXPENSE")</f>
        <v xml:space="preserve">          6362 - ADVERTISING EXPENSE</v>
      </c>
      <c r="C45" s="11"/>
      <c r="D45" s="2"/>
      <c r="E45" s="2"/>
      <c r="F45" s="2"/>
      <c r="G45" s="2"/>
      <c r="H45" s="2"/>
      <c r="I45" s="2"/>
      <c r="J45" s="2"/>
      <c r="K45" s="2">
        <v>83.83</v>
      </c>
      <c r="L45" s="2"/>
      <c r="M45" s="2"/>
      <c r="N45" s="2">
        <v>0</v>
      </c>
      <c r="O45" s="2">
        <v>0</v>
      </c>
      <c r="P45" s="9"/>
      <c r="Q45" s="2">
        <f>SUM(OSRRefD21_2_0x)+IFERROR(SUM(OSRRefE21_2_0x),0)</f>
        <v>83.83</v>
      </c>
    </row>
    <row r="46" spans="1:17" s="34" customFormat="1" collapsed="1" x14ac:dyDescent="0.25">
      <c r="A46" s="35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SUM(OSRRefD21_3x_0)</f>
        <v>0</v>
      </c>
      <c r="E46" s="1">
        <f>SUM(OSRRefD21_3x_1)</f>
        <v>0</v>
      </c>
      <c r="F46" s="1">
        <f>SUM(OSRRefD21_3x_2)</f>
        <v>0</v>
      </c>
      <c r="G46" s="1">
        <f>SUM(OSRRefD21_3x_3)</f>
        <v>0</v>
      </c>
      <c r="H46" s="1">
        <f>SUM(OSRRefD21_3x_4)</f>
        <v>0</v>
      </c>
      <c r="I46" s="1">
        <f>SUM(OSRRefD21_3x_5)</f>
        <v>0</v>
      </c>
      <c r="J46" s="1">
        <f>SUM(OSRRefD21_3x_6)</f>
        <v>0</v>
      </c>
      <c r="K46" s="1">
        <f>SUM(OSRRefD21_3x_7)</f>
        <v>0</v>
      </c>
      <c r="L46" s="1">
        <f>SUM(OSRRefD21_3x_8)</f>
        <v>0</v>
      </c>
      <c r="M46" s="1">
        <f>SUM(OSRRefD21_3x_9)</f>
        <v>0</v>
      </c>
      <c r="N46" s="1">
        <f>SUM(OSRRefE21_3x_0)</f>
        <v>0</v>
      </c>
      <c r="O46" s="1">
        <f>SUM(OSRRefE21_3x_1)</f>
        <v>0</v>
      </c>
      <c r="Q46" s="2">
        <f>SUM(OSRRefD20_3x)+IFERROR(SUM(OSRRefE20_3x),0)</f>
        <v>0</v>
      </c>
    </row>
    <row r="47" spans="1:17" s="34" customFormat="1" hidden="1" outlineLevel="1" x14ac:dyDescent="0.25">
      <c r="A47" s="35"/>
      <c r="B47" s="10" t="str">
        <f>CONCATENATE("          ","6381", " - ","BANK/CREDIT CARD FEES")</f>
        <v xml:space="preserve">          6381 - BANK/CREDIT CARD FEES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0</v>
      </c>
      <c r="O47" s="2">
        <v>0</v>
      </c>
      <c r="P47" s="9"/>
      <c r="Q47" s="2">
        <f>SUM(OSRRefD21_3_0x)+IFERROR(SUM(OSRRefE21_3_0x),0)</f>
        <v>0</v>
      </c>
    </row>
    <row r="48" spans="1:17" s="34" customFormat="1" collapsed="1" x14ac:dyDescent="0.25">
      <c r="A48" s="35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SUM(OSRRefD21_4x_0)</f>
        <v>1972.05</v>
      </c>
      <c r="E48" s="1">
        <f>SUM(OSRRefD21_4x_1)</f>
        <v>1825.26</v>
      </c>
      <c r="F48" s="1">
        <f>SUM(OSRRefD21_4x_2)</f>
        <v>1825.26</v>
      </c>
      <c r="G48" s="1">
        <f>SUM(OSRRefD21_4x_3)</f>
        <v>1825.26</v>
      </c>
      <c r="H48" s="1">
        <f>SUM(OSRRefD21_4x_4)</f>
        <v>1825.26</v>
      </c>
      <c r="I48" s="1">
        <f>SUM(OSRRefD21_4x_5)</f>
        <v>1825.26</v>
      </c>
      <c r="J48" s="1">
        <f>SUM(OSRRefD21_4x_6)</f>
        <v>1825.26</v>
      </c>
      <c r="K48" s="1">
        <f>SUM(OSRRefD21_4x_7)</f>
        <v>1825.26</v>
      </c>
      <c r="L48" s="1">
        <f>SUM(OSRRefD21_4x_8)</f>
        <v>1825.26</v>
      </c>
      <c r="M48" s="1">
        <f>SUM(OSRRefD21_4x_9)</f>
        <v>1825.26</v>
      </c>
      <c r="N48" s="1">
        <f>SUM(OSRRefE21_4x_0)</f>
        <v>1972</v>
      </c>
      <c r="O48" s="1">
        <f>SUM(OSRRefE21_4x_1)</f>
        <v>1280</v>
      </c>
      <c r="Q48" s="2">
        <f>SUM(OSRRefD20_4x)+IFERROR(SUM(OSRRefE20_4x),0)</f>
        <v>21651.39</v>
      </c>
    </row>
    <row r="49" spans="1:17" s="34" customFormat="1" hidden="1" outlineLevel="1" x14ac:dyDescent="0.25">
      <c r="A49" s="35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1972.05</v>
      </c>
      <c r="E49" s="2">
        <v>1825.26</v>
      </c>
      <c r="F49" s="2">
        <v>1825.26</v>
      </c>
      <c r="G49" s="2">
        <v>1825.26</v>
      </c>
      <c r="H49" s="2">
        <v>1825.26</v>
      </c>
      <c r="I49" s="2">
        <v>1825.26</v>
      </c>
      <c r="J49" s="2">
        <v>1825.26</v>
      </c>
      <c r="K49" s="2">
        <v>1825.26</v>
      </c>
      <c r="L49" s="2">
        <v>1825.26</v>
      </c>
      <c r="M49" s="2">
        <v>1825.26</v>
      </c>
      <c r="N49" s="2">
        <v>1972</v>
      </c>
      <c r="O49" s="2">
        <v>1280</v>
      </c>
      <c r="P49" s="9"/>
      <c r="Q49" s="2">
        <f>SUM(OSRRefD21_4_0x)+IFERROR(SUM(OSRRefE21_4_0x),0)</f>
        <v>21651.39</v>
      </c>
    </row>
    <row r="50" spans="1:17" s="34" customFormat="1" collapsed="1" x14ac:dyDescent="0.25">
      <c r="A50" s="35"/>
      <c r="B50" s="11" t="str">
        <f>CONCATENATE("     ","Employees' Appreciation                           ")</f>
        <v xml:space="preserve">     Employees' Appreciation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0</v>
      </c>
      <c r="H50" s="1">
        <f>SUM(OSRRefD21_5x_4)</f>
        <v>0</v>
      </c>
      <c r="I50" s="1">
        <f>SUM(OSRRefD21_5x_5)</f>
        <v>0</v>
      </c>
      <c r="J50" s="1">
        <f>SUM(OSRRefD21_5x_6)</f>
        <v>0</v>
      </c>
      <c r="K50" s="1">
        <f>SUM(OSRRefD21_5x_7)</f>
        <v>0</v>
      </c>
      <c r="L50" s="1">
        <f>SUM(OSRRefD21_5x_8)</f>
        <v>0</v>
      </c>
      <c r="M50" s="1">
        <f>SUM(OSRRefD21_5x_9)</f>
        <v>0</v>
      </c>
      <c r="N50" s="1">
        <f>SUM(OSRRefE21_5x_0)</f>
        <v>0</v>
      </c>
      <c r="O50" s="1">
        <f>SUM(OSRRefE21_5x_1)</f>
        <v>0</v>
      </c>
      <c r="Q50" s="2">
        <f>SUM(OSRRefD20_5x)+IFERROR(SUM(OSRRefE20_5x),0)</f>
        <v>0</v>
      </c>
    </row>
    <row r="51" spans="1:17" s="34" customFormat="1" hidden="1" outlineLevel="1" x14ac:dyDescent="0.25">
      <c r="A51" s="35"/>
      <c r="B51" s="10" t="str">
        <f>CONCATENATE("          ","6277", " - ","EMPLOYEE APPRECIATION")</f>
        <v xml:space="preserve">          6277 - EMPLOYEE APPRECIATION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>
        <v>0</v>
      </c>
      <c r="O51" s="2">
        <v>0</v>
      </c>
      <c r="P51" s="9"/>
      <c r="Q51" s="2">
        <f>SUM(OSRRefD21_5_0x)+IFERROR(SUM(OSRRefE21_5_0x),0)</f>
        <v>0</v>
      </c>
    </row>
    <row r="52" spans="1:17" s="34" customFormat="1" collapsed="1" x14ac:dyDescent="0.25">
      <c r="A52" s="35"/>
      <c r="B52" s="11" t="str">
        <f>CONCATENATE("     ","Equipment Rental                                  ")</f>
        <v xml:space="preserve">     Equipment Rental                                  </v>
      </c>
      <c r="C52" s="11"/>
      <c r="D52" s="1">
        <f>SUM(OSRRefD21_6x_0)</f>
        <v>0</v>
      </c>
      <c r="E52" s="1">
        <f>SUM(OSRRefD21_6x_1)</f>
        <v>0</v>
      </c>
      <c r="F52" s="1">
        <f>SUM(OSRRefD21_6x_2)</f>
        <v>96.3</v>
      </c>
      <c r="G52" s="1">
        <f>SUM(OSRRefD21_6x_3)</f>
        <v>0</v>
      </c>
      <c r="H52" s="1">
        <f>SUM(OSRRefD21_6x_4)</f>
        <v>0</v>
      </c>
      <c r="I52" s="1">
        <f>SUM(OSRRefD21_6x_5)</f>
        <v>0</v>
      </c>
      <c r="J52" s="1">
        <f>SUM(OSRRefD21_6x_6)</f>
        <v>0</v>
      </c>
      <c r="K52" s="1">
        <f>SUM(OSRRefD21_6x_7)</f>
        <v>0</v>
      </c>
      <c r="L52" s="1">
        <f>SUM(OSRRefD21_6x_8)</f>
        <v>0</v>
      </c>
      <c r="M52" s="1">
        <f>SUM(OSRRefD21_6x_9)</f>
        <v>0</v>
      </c>
      <c r="N52" s="1">
        <f>SUM(OSRRefE21_6x_0)</f>
        <v>0</v>
      </c>
      <c r="O52" s="1">
        <f>SUM(OSRRefE21_6x_1)</f>
        <v>0</v>
      </c>
      <c r="Q52" s="2">
        <f>SUM(OSRRefD20_6x)+IFERROR(SUM(OSRRefE20_6x),0)</f>
        <v>96.3</v>
      </c>
    </row>
    <row r="53" spans="1:17" s="34" customFormat="1" hidden="1" outlineLevel="1" x14ac:dyDescent="0.25">
      <c r="A53" s="35"/>
      <c r="B53" s="10" t="str">
        <f>CONCATENATE("          ","6351", " - ","EQUIPMENT RENTAL")</f>
        <v xml:space="preserve">          6351 - EQUIPMENT RENTAL</v>
      </c>
      <c r="C53" s="11"/>
      <c r="D53" s="2"/>
      <c r="E53" s="2"/>
      <c r="F53" s="2">
        <v>96.3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SUM(OSRRefD21_6_0x)+IFERROR(SUM(OSRRefE21_6_0x),0)</f>
        <v>96.3</v>
      </c>
    </row>
    <row r="54" spans="1:17" s="34" customFormat="1" collapsed="1" x14ac:dyDescent="0.25">
      <c r="A54" s="35"/>
      <c r="B54" s="11" t="str">
        <f>CONCATENATE("     ","General                                           ")</f>
        <v xml:space="preserve">     General                                           </v>
      </c>
      <c r="C54" s="11"/>
      <c r="D54" s="1">
        <f>SUM(OSRRefD21_7x_0)</f>
        <v>0</v>
      </c>
      <c r="E54" s="1">
        <f>SUM(OSRRefD21_7x_1)</f>
        <v>7.28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SUM(OSRRefD21_7x_9)</f>
        <v>0</v>
      </c>
      <c r="N54" s="1">
        <f>SUM(OSRRefE21_7x_0)</f>
        <v>0</v>
      </c>
      <c r="O54" s="1">
        <f>SUM(OSRRefE21_7x_1)</f>
        <v>0</v>
      </c>
      <c r="Q54" s="2">
        <f>SUM(OSRRefD20_7x)+IFERROR(SUM(OSRRefE20_7x),0)</f>
        <v>7.28</v>
      </c>
    </row>
    <row r="55" spans="1:17" s="34" customFormat="1" hidden="1" outlineLevel="1" x14ac:dyDescent="0.25">
      <c r="A55" s="35"/>
      <c r="B55" s="10" t="str">
        <f>CONCATENATE("          ","6279", " - ","GENERAL EXPENSE")</f>
        <v xml:space="preserve">          6279 - GENERAL EXPENSE</v>
      </c>
      <c r="C55" s="11"/>
      <c r="D55" s="2"/>
      <c r="E55" s="2">
        <v>7.28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7.28</v>
      </c>
    </row>
    <row r="56" spans="1:17" s="34" customFormat="1" collapsed="1" x14ac:dyDescent="0.25">
      <c r="A56" s="35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SUM(OSRRefD21_8x_0)</f>
        <v>0</v>
      </c>
      <c r="E56" s="1">
        <f>SUM(OSRRefD21_8x_1)</f>
        <v>39.299999999999997</v>
      </c>
      <c r="F56" s="1">
        <f>SUM(OSRRefD21_8x_2)</f>
        <v>329.58000000000004</v>
      </c>
      <c r="G56" s="1">
        <f>SUM(OSRRefD21_8x_3)</f>
        <v>0</v>
      </c>
      <c r="H56" s="1">
        <f>SUM(OSRRefD21_8x_4)</f>
        <v>0</v>
      </c>
      <c r="I56" s="1">
        <f>SUM(OSRRefD21_8x_5)</f>
        <v>129.58000000000001</v>
      </c>
      <c r="J56" s="1">
        <f>SUM(OSRRefD21_8x_6)</f>
        <v>0</v>
      </c>
      <c r="K56" s="1">
        <f>SUM(OSRRefD21_8x_7)</f>
        <v>0</v>
      </c>
      <c r="L56" s="1">
        <f>SUM(OSRRefD21_8x_8)</f>
        <v>129.58000000000001</v>
      </c>
      <c r="M56" s="1">
        <f>SUM(OSRRefD21_8x_9)</f>
        <v>0</v>
      </c>
      <c r="N56" s="1">
        <f>SUM(OSRRefE21_8x_0)</f>
        <v>0</v>
      </c>
      <c r="O56" s="1">
        <f>SUM(OSRRefE21_8x_1)</f>
        <v>0</v>
      </c>
      <c r="Q56" s="2">
        <f>SUM(OSRRefD20_8x)+IFERROR(SUM(OSRRefE20_8x),0)</f>
        <v>628.04000000000008</v>
      </c>
    </row>
    <row r="57" spans="1:17" s="34" customFormat="1" hidden="1" outlineLevel="1" x14ac:dyDescent="0.25">
      <c r="A57" s="35"/>
      <c r="B57" s="10" t="str">
        <f>CONCATENATE("          ","6373", " - ","MAINTENANCE CONTRACTS")</f>
        <v xml:space="preserve">          6373 - MAINTENANCE CONTRACTS</v>
      </c>
      <c r="C57" s="11"/>
      <c r="D57" s="2"/>
      <c r="E57" s="2">
        <v>39.299999999999997</v>
      </c>
      <c r="F57" s="2">
        <v>129.58000000000001</v>
      </c>
      <c r="G57" s="2"/>
      <c r="H57" s="2"/>
      <c r="I57" s="2">
        <v>129.58000000000001</v>
      </c>
      <c r="J57" s="2"/>
      <c r="K57" s="2"/>
      <c r="L57" s="2">
        <v>129.58000000000001</v>
      </c>
      <c r="M57" s="2"/>
      <c r="N57" s="2"/>
      <c r="O57" s="2"/>
      <c r="P57" s="9"/>
      <c r="Q57" s="2">
        <f>SUM(OSRRefD21_8_0x)+IFERROR(SUM(OSRRefE21_8_0x),0)</f>
        <v>428.04000000000008</v>
      </c>
    </row>
    <row r="58" spans="1:17" s="34" customFormat="1" hidden="1" outlineLevel="1" x14ac:dyDescent="0.25">
      <c r="A58" s="35"/>
      <c r="B58" s="10" t="str">
        <f>CONCATENATE("          ","6375", " - ","OUTSIDE REPAIRS &amp; MAINTENANCE")</f>
        <v xml:space="preserve">          6375 - OUTSIDE REPAIRS &amp; MAINTENANCE</v>
      </c>
      <c r="C58" s="11"/>
      <c r="D58" s="2"/>
      <c r="E58" s="2"/>
      <c r="F58" s="2">
        <v>200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200</v>
      </c>
    </row>
    <row r="59" spans="1:17" s="34" customFormat="1" collapsed="1" x14ac:dyDescent="0.25">
      <c r="A59" s="35"/>
      <c r="B59" s="11" t="str">
        <f>CONCATENATE("     ","Royalty &amp; Commissions                             ")</f>
        <v xml:space="preserve">     Royalty &amp; Commissions                             </v>
      </c>
      <c r="C59" s="11"/>
      <c r="D59" s="1">
        <f>SUM(OSRRefD21_9x_0)</f>
        <v>0</v>
      </c>
      <c r="E59" s="1">
        <f>SUM(OSRRefD21_9x_1)</f>
        <v>0</v>
      </c>
      <c r="F59" s="1">
        <f>SUM(OSRRefD21_9x_2)</f>
        <v>0</v>
      </c>
      <c r="G59" s="1">
        <f>SUM(OSRRefD21_9x_3)</f>
        <v>0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SUM(OSRRefE21_9x_0)</f>
        <v>0</v>
      </c>
      <c r="O59" s="1">
        <f>SUM(OSRRefE21_9x_1)</f>
        <v>0</v>
      </c>
      <c r="Q59" s="2">
        <f>SUM(OSRRefD20_9x)+IFERROR(SUM(OSRRefE20_9x),0)</f>
        <v>0</v>
      </c>
    </row>
    <row r="60" spans="1:17" s="34" customFormat="1" hidden="1" outlineLevel="1" x14ac:dyDescent="0.25">
      <c r="A60" s="35"/>
      <c r="B60" s="10" t="str">
        <f>CONCATENATE("          ","6259", " - ","ROYALTY &amp; COMMISSIONS")</f>
        <v xml:space="preserve">          6259 - ROYALTY &amp; COMMISSIONS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SUM(OSRRefD21_9_0x)+IFERROR(SUM(OSRRefE21_9_0x),0)</f>
        <v>0</v>
      </c>
    </row>
    <row r="61" spans="1:17" s="34" customFormat="1" collapsed="1" x14ac:dyDescent="0.25">
      <c r="A61" s="35"/>
      <c r="B61" s="11" t="str">
        <f>CONCATENATE("     ","Services                                          ")</f>
        <v xml:space="preserve">     Services 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SUM(OSRRefD21_10x_9)</f>
        <v>0</v>
      </c>
      <c r="N61" s="1">
        <f>SUM(OSRRefE21_10x_0)</f>
        <v>0</v>
      </c>
      <c r="O61" s="1">
        <f>SUM(OSRRefE21_10x_1)</f>
        <v>0</v>
      </c>
      <c r="Q61" s="2">
        <f>SUM(OSRRefD20_10x)+IFERROR(SUM(OSRRefE20_10x),0)</f>
        <v>0</v>
      </c>
    </row>
    <row r="62" spans="1:17" s="34" customFormat="1" hidden="1" outlineLevel="1" x14ac:dyDescent="0.25">
      <c r="A62" s="35"/>
      <c r="B62" s="10" t="str">
        <f>CONCATENATE("          ","6286", " - ","LAUNDRY EXPENSE")</f>
        <v xml:space="preserve">          6286 - LAUNDRY EXPENSE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4" customFormat="1" collapsed="1" x14ac:dyDescent="0.25">
      <c r="A63" s="35"/>
      <c r="B63" s="11" t="str">
        <f>CONCATENATE("     ","Subscriptions &amp; Dues                              ")</f>
        <v xml:space="preserve">     Subscriptions &amp; Dues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SUM(OSRRefE21_11x_0)</f>
        <v>0</v>
      </c>
      <c r="O63" s="1">
        <f>SUM(OSRRefE21_11x_1)</f>
        <v>0</v>
      </c>
      <c r="Q63" s="2">
        <f>SUM(OSRRefD20_11x)+IFERROR(SUM(OSRRefE20_11x),0)</f>
        <v>0</v>
      </c>
    </row>
    <row r="64" spans="1:17" s="34" customFormat="1" hidden="1" outlineLevel="1" x14ac:dyDescent="0.25">
      <c r="A64" s="35"/>
      <c r="B64" s="10" t="str">
        <f>CONCATENATE("          ","6275", " - ","SUBSCRIPTIONS")</f>
        <v xml:space="preserve">          6275 - SUBSCRIPTIONS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collapsed="1" x14ac:dyDescent="0.25">
      <c r="A65" s="35"/>
      <c r="B65" s="11" t="str">
        <f>CONCATENATE("     ","Supplies                                          ")</f>
        <v xml:space="preserve">     Supplies                                          </v>
      </c>
      <c r="C65" s="11"/>
      <c r="D65" s="1">
        <f>SUM(OSRRefD21_12x_0)</f>
        <v>0</v>
      </c>
      <c r="E65" s="1">
        <f>SUM(OSRRefD21_12x_1)</f>
        <v>0</v>
      </c>
      <c r="F65" s="1">
        <f>SUM(OSRRefD21_12x_2)</f>
        <v>0</v>
      </c>
      <c r="G65" s="1">
        <f>SUM(OSRRefD21_12x_3)</f>
        <v>0</v>
      </c>
      <c r="H65" s="1">
        <f>SUM(OSRRefD21_12x_4)</f>
        <v>0</v>
      </c>
      <c r="I65" s="1">
        <f>SUM(OSRRefD21_12x_5)</f>
        <v>0</v>
      </c>
      <c r="J65" s="1">
        <f>SUM(OSRRefD21_12x_6)</f>
        <v>0</v>
      </c>
      <c r="K65" s="1">
        <f>SUM(OSRRefD21_12x_7)</f>
        <v>0</v>
      </c>
      <c r="L65" s="1">
        <f>SUM(OSRRefD21_12x_8)</f>
        <v>0</v>
      </c>
      <c r="M65" s="1">
        <f>SUM(OSRRefD21_12x_9)</f>
        <v>0</v>
      </c>
      <c r="N65" s="1">
        <f>SUM(OSRRefE21_12x_0)</f>
        <v>0</v>
      </c>
      <c r="O65" s="1">
        <f>SUM(OSRRefE21_12x_1)</f>
        <v>0</v>
      </c>
      <c r="Q65" s="2">
        <f>SUM(OSRRefD20_12x)+IFERROR(SUM(OSRRefE20_12x),0)</f>
        <v>0</v>
      </c>
    </row>
    <row r="66" spans="1:17" s="34" customFormat="1" hidden="1" outlineLevel="1" x14ac:dyDescent="0.25">
      <c r="A66" s="35"/>
      <c r="B66" s="10" t="str">
        <f>CONCATENATE("          ","6235", " - ","COVID-19 EXPENSES")</f>
        <v xml:space="preserve">          6235 - COVID-19 EXPENSES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SUM(OSRRefD21_12_0x)+IFERROR(SUM(OSRRefE21_12_0x),0)</f>
        <v>0</v>
      </c>
    </row>
    <row r="67" spans="1:17" s="34" customFormat="1" hidden="1" outlineLevel="1" x14ac:dyDescent="0.25">
      <c r="A67" s="35"/>
      <c r="B67" s="10" t="str">
        <f>CONCATENATE("          ","6241", " - ","OFFICE EXPENSE")</f>
        <v xml:space="preserve">          6241 - OFFICE EXPENSE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SUM(OSRRefD21_12_1x)+IFERROR(SUM(OSRRefE21_12_1x),0)</f>
        <v>0</v>
      </c>
    </row>
    <row r="68" spans="1:17" s="34" customFormat="1" hidden="1" outlineLevel="1" x14ac:dyDescent="0.25">
      <c r="A68" s="35"/>
      <c r="B68" s="10" t="str">
        <f>CONCATENATE("          ","6247", " - ","STORE SUPPLIES")</f>
        <v xml:space="preserve">          6247 - STORE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SUM(OSRRefD21_12_2x)+IFERROR(SUM(OSRRefE21_12_2x),0)</f>
        <v>0</v>
      </c>
    </row>
    <row r="69" spans="1:17" s="34" customFormat="1" collapsed="1" x14ac:dyDescent="0.25">
      <c r="A69" s="35"/>
      <c r="B69" s="11" t="str">
        <f>CONCATENATE("     ","Telephone/Data Lines                              ")</f>
        <v xml:space="preserve">     Telephone/Data Lines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0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SUM(OSRRefD21_13x_9)</f>
        <v>0</v>
      </c>
      <c r="N69" s="1">
        <f>SUM(OSRRefE21_13x_0)</f>
        <v>0</v>
      </c>
      <c r="O69" s="1">
        <f>SUM(OSRRefE21_13x_1)</f>
        <v>0</v>
      </c>
      <c r="Q69" s="2">
        <f>SUM(OSRRefD20_13x)+IFERROR(SUM(OSRRefE20_13x),0)</f>
        <v>0</v>
      </c>
    </row>
    <row r="70" spans="1:17" s="34" customFormat="1" hidden="1" outlineLevel="1" x14ac:dyDescent="0.25">
      <c r="A70" s="35"/>
      <c r="B70" s="10" t="str">
        <f>CONCATENATE("          ","6309", " - ","TELEPHONE")</f>
        <v xml:space="preserve">          6309 - TELEPHONE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3"/>
      <c r="B72" s="16" t="s">
        <v>291</v>
      </c>
      <c r="C72" s="22"/>
      <c r="D72" s="3">
        <f t="shared" ref="D72:M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/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IFERROR(+D19-D22+D72, 0)</f>
        <v>-1699.65</v>
      </c>
      <c r="E74" s="8">
        <f t="shared" si="5"/>
        <v>-1871.84</v>
      </c>
      <c r="F74" s="8">
        <f t="shared" si="5"/>
        <v>-2251.14</v>
      </c>
      <c r="G74" s="8">
        <f t="shared" si="5"/>
        <v>-1825.26</v>
      </c>
      <c r="H74" s="8">
        <f t="shared" si="5"/>
        <v>-1825.26</v>
      </c>
      <c r="I74" s="8">
        <f t="shared" si="5"/>
        <v>-1954.84</v>
      </c>
      <c r="J74" s="8">
        <f t="shared" si="5"/>
        <v>-1825.26</v>
      </c>
      <c r="K74" s="8">
        <f t="shared" si="5"/>
        <v>460.47</v>
      </c>
      <c r="L74" s="8">
        <f t="shared" si="5"/>
        <v>-1954.84</v>
      </c>
      <c r="M74" s="8">
        <f t="shared" si="5"/>
        <v>-1825.26</v>
      </c>
      <c r="N74" s="8">
        <f t="shared" si="5"/>
        <v>-1972</v>
      </c>
      <c r="O74" s="8">
        <f t="shared" si="5"/>
        <v>-1280</v>
      </c>
      <c r="Q74" s="8">
        <f>IFERROR(+Q19-Q22+Q72, 0)</f>
        <v>-19824.879999999997</v>
      </c>
    </row>
    <row r="75" spans="1:17" s="6" customFormat="1" x14ac:dyDescent="0.25">
      <c r="B75" s="16"/>
      <c r="C75" s="16"/>
      <c r="D75" s="4">
        <f t="shared" ref="D75:O75" si="6">IFERROR(D74/D10, 0)</f>
        <v>-1.743391697695172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-20.335087341395614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>
        <v>468.88</v>
      </c>
      <c r="E77" s="3">
        <v>-304.27999999999997</v>
      </c>
      <c r="F77" s="3">
        <v>16.010000000000002</v>
      </c>
      <c r="G77" s="3">
        <v>30.58</v>
      </c>
      <c r="H77" s="3">
        <v>-56.28</v>
      </c>
      <c r="I77" s="3">
        <v>25.47</v>
      </c>
      <c r="J77" s="3">
        <v>-3.41</v>
      </c>
      <c r="K77" s="3">
        <v>16.100000000000001</v>
      </c>
      <c r="L77" s="3">
        <v>7.85</v>
      </c>
      <c r="M77" s="3">
        <v>3.04</v>
      </c>
      <c r="N77" s="3"/>
      <c r="O77" s="3"/>
      <c r="Q77" s="2">
        <f>SUM(OSRRefD28_0x)+IFERROR(SUM(OSRRefE28_0x),0)</f>
        <v>203.95999999999998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-2168.5300000000002</v>
      </c>
      <c r="E79" s="7">
        <f t="shared" si="7"/>
        <v>-1567.56</v>
      </c>
      <c r="F79" s="7">
        <f t="shared" si="7"/>
        <v>-2267.15</v>
      </c>
      <c r="G79" s="7">
        <f t="shared" si="7"/>
        <v>-1855.84</v>
      </c>
      <c r="H79" s="7">
        <f t="shared" si="7"/>
        <v>-1768.98</v>
      </c>
      <c r="I79" s="7">
        <f t="shared" si="7"/>
        <v>-1980.31</v>
      </c>
      <c r="J79" s="7">
        <f t="shared" si="7"/>
        <v>-1821.85</v>
      </c>
      <c r="K79" s="7">
        <f t="shared" si="7"/>
        <v>444.37</v>
      </c>
      <c r="L79" s="7">
        <f t="shared" si="7"/>
        <v>-1962.6899999999998</v>
      </c>
      <c r="M79" s="7">
        <f t="shared" si="7"/>
        <v>-1828.3</v>
      </c>
      <c r="N79" s="7">
        <f t="shared" si="7"/>
        <v>-1972</v>
      </c>
      <c r="O79" s="7">
        <f t="shared" si="7"/>
        <v>-1280</v>
      </c>
      <c r="Q79" s="7">
        <f>IFERROR(+Q74-Q77, 0)</f>
        <v>-20028.839999999997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-2.2243386569016632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-20.54429639659045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-2170.7543386569018</v>
      </c>
      <c r="E83" s="7">
        <f t="shared" si="9"/>
        <v>-1567.56</v>
      </c>
      <c r="F83" s="7">
        <f t="shared" si="9"/>
        <v>-2267.15</v>
      </c>
      <c r="G83" s="7">
        <f t="shared" si="9"/>
        <v>-1855.84</v>
      </c>
      <c r="H83" s="7">
        <f t="shared" si="9"/>
        <v>-1768.98</v>
      </c>
      <c r="I83" s="7">
        <f t="shared" si="9"/>
        <v>-1980.31</v>
      </c>
      <c r="J83" s="7">
        <f t="shared" si="9"/>
        <v>-1821.85</v>
      </c>
      <c r="K83" s="7">
        <f t="shared" si="9"/>
        <v>444.37</v>
      </c>
      <c r="L83" s="7">
        <f t="shared" si="9"/>
        <v>-1962.6899999999998</v>
      </c>
      <c r="M83" s="7">
        <f t="shared" si="9"/>
        <v>-1828.3</v>
      </c>
      <c r="N83" s="7">
        <f t="shared" si="9"/>
        <v>-1972</v>
      </c>
      <c r="O83" s="7">
        <f t="shared" si="9"/>
        <v>-1280</v>
      </c>
      <c r="Q83" s="7">
        <f>IFERROR(SUM(Q79:Q82), 0)</f>
        <v>-20049.384296396587</v>
      </c>
    </row>
    <row r="84" spans="1:17" ht="15.75" thickTop="1" x14ac:dyDescent="0.25">
      <c r="A84" s="5"/>
      <c r="C84" s="5"/>
      <c r="D84" s="4">
        <f t="shared" ref="D84:O84" si="10">IFERROR(D83/D10, 0)</f>
        <v>-2.2266202404908166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-20.565369415019426</v>
      </c>
    </row>
    <row r="85" spans="1:17" x14ac:dyDescent="0.25">
      <c r="A85" s="5"/>
      <c r="B85" s="27">
        <v>44330.012769791669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25">
      <c r="A86" s="5"/>
      <c r="B86" s="31" t="s">
        <v>54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25">
      <c r="A87" s="5"/>
      <c r="B87" s="26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25"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SUM(OSRRefD11x_7)</f>
        <v>0</v>
      </c>
      <c r="L10" s="3">
        <f>SUM(OSRRefD11x_8)</f>
        <v>5482.18</v>
      </c>
      <c r="M10" s="3">
        <f>SUM(OSRRefD11x_9)</f>
        <v>12771.779999999999</v>
      </c>
      <c r="N10" s="3">
        <f>SUM(OSRRefE11x_0)</f>
        <v>5300</v>
      </c>
      <c r="O10" s="3">
        <f>SUM(OSRRefE11x_1)</f>
        <v>5500</v>
      </c>
      <c r="P10" s="24"/>
      <c r="Q10" s="3">
        <f>SUM(OSRRefG11x)</f>
        <v>74189.66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M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1648</v>
      </c>
      <c r="O11" s="2">
        <v>1711</v>
      </c>
      <c r="Q11" s="2">
        <f>SUM(OSRRefD11_0x)+IFERROR(SUM(OSRRefE11_0x),0)</f>
        <v>3359</v>
      </c>
    </row>
    <row r="12" spans="1:18" s="9" customFormat="1" hidden="1" outlineLevel="1" x14ac:dyDescent="0.25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4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/>
      <c r="O12" s="2"/>
      <c r="Q12" s="2">
        <f>SUM(OSRRefD11_1x)+IFERROR(SUM(OSRRefE11_1x),0)</f>
        <v>32121.26</v>
      </c>
    </row>
    <row r="13" spans="1:18" s="9" customFormat="1" hidden="1" outlineLevel="1" x14ac:dyDescent="0.25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ref="E13:I13" si="3">0</f>
        <v>0</v>
      </c>
      <c r="F13" s="2">
        <f t="shared" si="3"/>
        <v>0</v>
      </c>
      <c r="G13" s="2">
        <f t="shared" si="3"/>
        <v>0</v>
      </c>
      <c r="H13" s="2">
        <f t="shared" si="3"/>
        <v>0</v>
      </c>
      <c r="I13" s="2">
        <f t="shared" si="3"/>
        <v>0</v>
      </c>
      <c r="J13" s="2">
        <f t="shared" si="2"/>
        <v>0</v>
      </c>
      <c r="K13" s="2">
        <f t="shared" si="2"/>
        <v>0</v>
      </c>
      <c r="L13" s="2">
        <f t="shared" ref="L13:M13" si="4">0</f>
        <v>0</v>
      </c>
      <c r="M13" s="2">
        <f t="shared" si="4"/>
        <v>0</v>
      </c>
      <c r="N13" s="2">
        <v>3652</v>
      </c>
      <c r="O13" s="2">
        <v>3789</v>
      </c>
      <c r="Q13" s="2">
        <f>SUM(OSRRefD11_2x)+IFERROR(SUM(OSRRefE11_2x),0)</f>
        <v>7441</v>
      </c>
    </row>
    <row r="14" spans="1:18" s="9" customFormat="1" hidden="1" outlineLevel="1" x14ac:dyDescent="0.25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si="2"/>
        <v>0</v>
      </c>
      <c r="K14" s="2">
        <f t="shared" si="2"/>
        <v>0</v>
      </c>
      <c r="L14" s="2">
        <f>--2877.6</f>
        <v>2877.6</v>
      </c>
      <c r="M14" s="2">
        <f>--6219.58</f>
        <v>6219.58</v>
      </c>
      <c r="N14" s="2"/>
      <c r="O14" s="2"/>
      <c r="Q14" s="2">
        <f>SUM(OSRRefD11_3x)+IFERROR(SUM(OSRRefE11_3x),0)</f>
        <v>31268.400000000001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SUM(OSRRefD14x_6)</f>
        <v>1319.87</v>
      </c>
      <c r="K16" s="3">
        <f>SUM(OSRRefD14x_7)</f>
        <v>420</v>
      </c>
      <c r="L16" s="3">
        <f>SUM(OSRRefD14x_8)</f>
        <v>684.79</v>
      </c>
      <c r="M16" s="3">
        <f>SUM(OSRRefD14x_9)</f>
        <v>3876.35</v>
      </c>
      <c r="N16" s="3">
        <f>SUM(OSRRefE14x_0)</f>
        <v>1749</v>
      </c>
      <c r="O16" s="3">
        <f>SUM(OSRRefE14x_1)</f>
        <v>1430</v>
      </c>
      <c r="Q16" s="3">
        <f>SUM(OSRRefG14x)</f>
        <v>28333.490000000005</v>
      </c>
    </row>
    <row r="17" spans="1:17" s="9" customFormat="1" hidden="1" outlineLevel="1" x14ac:dyDescent="0.25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1749</v>
      </c>
      <c r="O17" s="2">
        <v>1430</v>
      </c>
      <c r="Q17" s="2">
        <f>SUM(OSRRefD14_0x)+IFERROR(SUM(OSRRefE14_0x),0)</f>
        <v>3179</v>
      </c>
    </row>
    <row r="18" spans="1:17" s="9" customFormat="1" hidden="1" outlineLevel="1" x14ac:dyDescent="0.25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/>
      <c r="L18" s="2">
        <v>1183.79</v>
      </c>
      <c r="M18" s="2">
        <v>3742.42</v>
      </c>
      <c r="N18" s="2"/>
      <c r="O18" s="2"/>
      <c r="Q18" s="2">
        <f>SUM(OSRRefD14_1x)+IFERROR(SUM(OSRRefE14_1x),0)</f>
        <v>19770.480000000003</v>
      </c>
    </row>
    <row r="19" spans="1:17" s="9" customFormat="1" hidden="1" outlineLevel="1" x14ac:dyDescent="0.25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>
        <v>420</v>
      </c>
      <c r="L19" s="2">
        <v>-499</v>
      </c>
      <c r="M19" s="2">
        <v>133.93</v>
      </c>
      <c r="N19" s="2"/>
      <c r="O19" s="2"/>
      <c r="Q19" s="2">
        <f>SUM(OSRRefD14_2x)+IFERROR(SUM(OSRRefE14_2x),0)</f>
        <v>5384.01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5">IFERROR(+D10-D16, 0)</f>
        <v>0</v>
      </c>
      <c r="E21" s="8">
        <f t="shared" si="5"/>
        <v>473</v>
      </c>
      <c r="F21" s="8">
        <f t="shared" si="5"/>
        <v>6907.19</v>
      </c>
      <c r="G21" s="8">
        <f t="shared" si="5"/>
        <v>7493.5400000000009</v>
      </c>
      <c r="H21" s="8">
        <f t="shared" si="5"/>
        <v>5813.7900000000009</v>
      </c>
      <c r="I21" s="8">
        <f t="shared" si="5"/>
        <v>5594.7000000000007</v>
      </c>
      <c r="J21" s="8">
        <f t="shared" si="5"/>
        <v>-1319.87</v>
      </c>
      <c r="K21" s="8">
        <f t="shared" si="5"/>
        <v>-420</v>
      </c>
      <c r="L21" s="8">
        <f t="shared" si="5"/>
        <v>4797.3900000000003</v>
      </c>
      <c r="M21" s="8">
        <f t="shared" si="5"/>
        <v>8895.4299999999985</v>
      </c>
      <c r="N21" s="8">
        <f t="shared" si="5"/>
        <v>3551</v>
      </c>
      <c r="O21" s="8">
        <f t="shared" si="5"/>
        <v>4070</v>
      </c>
      <c r="Q21" s="8">
        <f>IFERROR(+Q10-Q16, 0)</f>
        <v>45856.17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0.10023437466888752</v>
      </c>
      <c r="F22" s="4">
        <f t="shared" si="6"/>
        <v>0.79597471665715946</v>
      </c>
      <c r="G22" s="4">
        <f t="shared" si="6"/>
        <v>0.56386455283488379</v>
      </c>
      <c r="H22" s="4">
        <f t="shared" si="6"/>
        <v>0.67151513331454471</v>
      </c>
      <c r="I22" s="4">
        <f t="shared" si="6"/>
        <v>0.57136700375212679</v>
      </c>
      <c r="J22" s="4">
        <f t="shared" si="6"/>
        <v>0</v>
      </c>
      <c r="K22" s="4">
        <f t="shared" si="6"/>
        <v>0</v>
      </c>
      <c r="L22" s="4">
        <f t="shared" si="6"/>
        <v>0.87508801243301026</v>
      </c>
      <c r="M22" s="4">
        <f t="shared" si="6"/>
        <v>0.69649101378194733</v>
      </c>
      <c r="N22" s="4">
        <f t="shared" si="6"/>
        <v>0.67</v>
      </c>
      <c r="O22" s="4">
        <f t="shared" si="6"/>
        <v>0.74</v>
      </c>
      <c r="P22" s="18"/>
      <c r="Q22" s="4">
        <f>IFERROR(Q21/Q10, 0)</f>
        <v>0.61809381522977724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4">
        <f>SUM(OSRRefD20x_0)</f>
        <v>56656.840000000004</v>
      </c>
      <c r="E24" s="14">
        <f>SUM(OSRRefD20x_1)</f>
        <v>67781.87</v>
      </c>
      <c r="F24" s="14">
        <f>SUM(OSRRefD20x_2)</f>
        <v>65605.72</v>
      </c>
      <c r="G24" s="14">
        <f>SUM(OSRRefD20x_3)</f>
        <v>75869.48</v>
      </c>
      <c r="H24" s="14">
        <f>SUM(OSRRefD20x_4)</f>
        <v>57889.59</v>
      </c>
      <c r="I24" s="14">
        <f>SUM(OSRRefD20x_5)</f>
        <v>59571.059999999983</v>
      </c>
      <c r="J24" s="14">
        <f>SUM(OSRRefD20x_6)</f>
        <v>57994.260000000009</v>
      </c>
      <c r="K24" s="14">
        <f>SUM(OSRRefD20x_7)</f>
        <v>53730.95</v>
      </c>
      <c r="L24" s="14">
        <f>SUM(OSRRefD20x_8)</f>
        <v>47181.18</v>
      </c>
      <c r="M24" s="14">
        <f>SUM(OSRRefD20x_9)</f>
        <v>65239.469999999994</v>
      </c>
      <c r="N24" s="14">
        <f>SUM(OSRRefE20x_0)</f>
        <v>43807.96540170769</v>
      </c>
      <c r="O24" s="14">
        <f>SUM(OSRRefE20x_1)</f>
        <v>43432.926578476923</v>
      </c>
      <c r="Q24" s="14">
        <f>SUM(OSRRefG20x)</f>
        <v>694761.31198018463</v>
      </c>
    </row>
    <row r="25" spans="1:17" s="34" customFormat="1" collapsed="1" x14ac:dyDescent="0.25">
      <c r="A25" s="35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SUM(OSRRefD21_0x_6)</f>
        <v>12650.69</v>
      </c>
      <c r="K25" s="1">
        <f>SUM(OSRRefD21_0x_7)</f>
        <v>12482.81</v>
      </c>
      <c r="L25" s="1">
        <f>SUM(OSRRefD21_0x_8)</f>
        <v>13097.210000000001</v>
      </c>
      <c r="M25" s="1">
        <f>SUM(OSRRefD21_0x_9)</f>
        <v>15119.630000000001</v>
      </c>
      <c r="N25" s="1">
        <f>SUM(OSRRefE21_0x_0)</f>
        <v>5416.1834017076899</v>
      </c>
      <c r="O25" s="1">
        <f>SUM(OSRRefE21_0x_1)</f>
        <v>5671.1895784769213</v>
      </c>
      <c r="Q25" s="2">
        <f>SUM(OSRRefD20_0x)+IFERROR(SUM(OSRRefE20_0x),0)</f>
        <v>146556.29298018463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1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1178.27</v>
      </c>
      <c r="K26" s="2">
        <v>1212.28</v>
      </c>
      <c r="L26" s="2">
        <v>1477.09</v>
      </c>
      <c r="M26" s="2">
        <v>2233.5700000000002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17098.687574799998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1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227.35</v>
      </c>
      <c r="K27" s="2">
        <v>592.94000000000005</v>
      </c>
      <c r="L27" s="2">
        <v>574.47</v>
      </c>
      <c r="M27" s="2">
        <v>574.29</v>
      </c>
      <c r="N27" s="2">
        <v>365.46424200000001</v>
      </c>
      <c r="O27" s="2">
        <v>377.935272</v>
      </c>
      <c r="P27" s="9"/>
      <c r="Q27" s="2">
        <f>SUM(OSRRefD21_0_1x)+IFERROR(SUM(OSRRefE21_0_1x),0)</f>
        <v>7244.079514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1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6634.06</v>
      </c>
      <c r="K28" s="2">
        <v>6634.06</v>
      </c>
      <c r="L28" s="2">
        <v>6634.06</v>
      </c>
      <c r="M28" s="2">
        <v>6634.06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73893.0146153846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1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107.19</v>
      </c>
      <c r="K29" s="2">
        <v>52.32</v>
      </c>
      <c r="L29" s="2">
        <v>49.75</v>
      </c>
      <c r="M29" s="2">
        <v>49.74</v>
      </c>
      <c r="N29" s="2">
        <v>22.149348</v>
      </c>
      <c r="O29" s="2">
        <v>22.905168</v>
      </c>
      <c r="P29" s="9"/>
      <c r="Q29" s="2">
        <f>SUM(OSRRefD21_0_3x)+IFERROR(SUM(OSRRefE21_0_3x),0)</f>
        <v>617.05451600000004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1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2127.25</v>
      </c>
      <c r="K30" s="2">
        <v>1482.29</v>
      </c>
      <c r="L30" s="2">
        <v>1562.6</v>
      </c>
      <c r="M30" s="2">
        <v>1499.84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16796.475760000001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","6118", " - ","VACATION")</f>
        <v xml:space="preserve">          6118 - VACATION</v>
      </c>
      <c r="C32" s="11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1401.26</v>
      </c>
      <c r="K32" s="2">
        <v>1440.4</v>
      </c>
      <c r="L32" s="2">
        <v>1440.4</v>
      </c>
      <c r="M32" s="2">
        <v>2160.6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16106.937999999998</v>
      </c>
    </row>
    <row r="33" spans="1:17" s="34" customFormat="1" hidden="1" outlineLevel="1" x14ac:dyDescent="0.25">
      <c r="A33" s="35"/>
      <c r="B33" s="10" t="str">
        <f>CONCATENATE("          ","6119", " - ","SICK LEAVE")</f>
        <v xml:space="preserve">          6119 - SICK LEAVE</v>
      </c>
      <c r="C33" s="11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872.28</v>
      </c>
      <c r="K33" s="2">
        <v>872.28</v>
      </c>
      <c r="L33" s="2">
        <v>872.28</v>
      </c>
      <c r="M33" s="2">
        <v>1308.42</v>
      </c>
      <c r="N33" s="2">
        <v>421.74900000000002</v>
      </c>
      <c r="O33" s="2">
        <v>437.334</v>
      </c>
      <c r="P33" s="9"/>
      <c r="Q33" s="2">
        <f>SUM(OSRRefD21_0_7x)+IFERROR(SUM(OSRRefE21_0_7x),0)</f>
        <v>10368.943000000001</v>
      </c>
    </row>
    <row r="34" spans="1:17" s="34" customFormat="1" hidden="1" outlineLevel="1" x14ac:dyDescent="0.25">
      <c r="A34" s="35"/>
      <c r="B34" s="10" t="str">
        <f>CONCATENATE("          ","6156", " - ","EMPLOYEE MEALS")</f>
        <v xml:space="preserve">          6156 - EMPLOYEE MEALS</v>
      </c>
      <c r="C34" s="11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>
        <v>103.03</v>
      </c>
      <c r="K34" s="2">
        <v>196.24</v>
      </c>
      <c r="L34" s="2">
        <v>486.56</v>
      </c>
      <c r="M34" s="2">
        <v>659.11</v>
      </c>
      <c r="N34" s="2"/>
      <c r="O34" s="2"/>
      <c r="P34" s="9"/>
      <c r="Q34" s="2">
        <f>SUM(OSRRefD21_0_8x)+IFERROR(SUM(OSRRefE21_0_8x),0)</f>
        <v>4431.1000000000004</v>
      </c>
    </row>
    <row r="35" spans="1:17" s="34" customFormat="1" collapsed="1" x14ac:dyDescent="0.25">
      <c r="A35" s="35"/>
      <c r="B35" s="11" t="str">
        <f>CONCATENATE("     ","*Payroll                                          ")</f>
        <v xml:space="preserve">     *Payroll                                          </v>
      </c>
      <c r="C35" s="11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</v>
      </c>
      <c r="H35" s="1">
        <f>SUM(OSRRefD21_1x_4)</f>
        <v>15260.3</v>
      </c>
      <c r="I35" s="1">
        <f>SUM(OSRRefD21_1x_5)</f>
        <v>15603.07</v>
      </c>
      <c r="J35" s="1">
        <f>SUM(OSRRefD21_1x_6)</f>
        <v>15294.730000000001</v>
      </c>
      <c r="K35" s="1">
        <f>SUM(OSRRefD21_1x_7)</f>
        <v>14775.8</v>
      </c>
      <c r="L35" s="1">
        <f>SUM(OSRRefD21_1x_8)</f>
        <v>17382.68</v>
      </c>
      <c r="M35" s="1">
        <f>SUM(OSRRefD21_1x_9)</f>
        <v>18096.319999999996</v>
      </c>
      <c r="N35" s="1">
        <f>SUM(OSRRefE21_1x_0)</f>
        <v>7681.7820000000002</v>
      </c>
      <c r="O35" s="1">
        <f>SUM(OSRRefE21_1x_1)</f>
        <v>7939.7369999999992</v>
      </c>
      <c r="Q35" s="2">
        <f>SUM(OSRRefD20_1x)+IFERROR(SUM(OSRRefE20_1x),0)</f>
        <v>189248.12899999999</v>
      </c>
    </row>
    <row r="36" spans="1:17" s="34" customFormat="1" hidden="1" outlineLevel="1" x14ac:dyDescent="0.25">
      <c r="A36" s="35"/>
      <c r="B36" s="10" t="str">
        <f>CONCATENATE("          ","6001", " - ","ADMINISTRATIVE SALARIES")</f>
        <v xml:space="preserve">          6001 - ADMINISTRATIVE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0" t="str">
        <f>CONCATENATE("          ","6002", " - ","STAFF SALARIES")</f>
        <v xml:space="preserve">          6002 - STAFF SALARIES</v>
      </c>
      <c r="C37" s="11"/>
      <c r="D37" s="2">
        <v>13229.18</v>
      </c>
      <c r="E37" s="2">
        <v>14643.4</v>
      </c>
      <c r="F37" s="2">
        <v>15148.26</v>
      </c>
      <c r="G37" s="2">
        <v>16649.23</v>
      </c>
      <c r="H37" s="2">
        <v>12438.05</v>
      </c>
      <c r="I37" s="2">
        <v>12942.91</v>
      </c>
      <c r="J37" s="2">
        <v>14173.28</v>
      </c>
      <c r="K37" s="2">
        <v>14166.5</v>
      </c>
      <c r="L37" s="2">
        <v>14052.4</v>
      </c>
      <c r="M37" s="2">
        <v>14540.3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151070.954</v>
      </c>
    </row>
    <row r="38" spans="1:17" s="34" customFormat="1" hidden="1" outlineLevel="1" x14ac:dyDescent="0.25">
      <c r="A38" s="35"/>
      <c r="B38" s="10" t="str">
        <f>CONCATENATE("          ","6003", " - ","STAFF HOURLY-9 MONTH")</f>
        <v xml:space="preserve">          6003 - STAFF HOURLY-9 MONTH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0" t="str">
        <f>CONCATENATE("          ","6004", " - ","STAFF HOURLY")</f>
        <v xml:space="preserve">          6004 - STAFF HOURLY</v>
      </c>
      <c r="C39" s="11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960.45</v>
      </c>
      <c r="K39" s="2">
        <v>284.3</v>
      </c>
      <c r="L39" s="2">
        <v>2789.95</v>
      </c>
      <c r="M39" s="2">
        <v>3950.03</v>
      </c>
      <c r="N39" s="2">
        <v>2934.36</v>
      </c>
      <c r="O39" s="2">
        <v>3243.24</v>
      </c>
      <c r="P39" s="9"/>
      <c r="Q39" s="2">
        <f>SUM(OSRRefD21_1_3x)+IFERROR(SUM(OSRRefE21_1_3x),0)</f>
        <v>34686.959999999999</v>
      </c>
    </row>
    <row r="40" spans="1:17" s="34" customFormat="1" hidden="1" outlineLevel="1" x14ac:dyDescent="0.25">
      <c r="A40" s="35"/>
      <c r="B40" s="10" t="str">
        <f>CONCATENATE("          ","6005", " - ","TEMPORARY WAGES-HOURLY")</f>
        <v xml:space="preserve">          6005 - TEMPORARY WAGES-HOURLY</v>
      </c>
      <c r="C40" s="11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>
        <v>0</v>
      </c>
      <c r="K40" s="2"/>
      <c r="L40" s="2">
        <v>172.33</v>
      </c>
      <c r="M40" s="2">
        <v>382.01</v>
      </c>
      <c r="N40" s="2">
        <v>203.7</v>
      </c>
      <c r="O40" s="2">
        <v>152.77500000000001</v>
      </c>
      <c r="P40" s="9"/>
      <c r="Q40" s="2">
        <f>SUM(OSRRefD21_1_4x)+IFERROR(SUM(OSRRefE21_1_4x),0)</f>
        <v>3342.5250000000001</v>
      </c>
    </row>
    <row r="41" spans="1:17" s="34" customFormat="1" hidden="1" outlineLevel="1" x14ac:dyDescent="0.25">
      <c r="A41" s="35"/>
      <c r="B41" s="10" t="str">
        <f>CONCATENATE("          ","6006", " - ","TEMPORARY PART TIME")</f>
        <v xml:space="preserve">          6006 - TEMPORARY PART TIME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0" t="str">
        <f>CONCATENATE("          ","6007", " - ","STUDENT HOURLY")</f>
        <v xml:space="preserve">          6007 - STUDENT HOURLY</v>
      </c>
      <c r="C42" s="11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161</v>
      </c>
      <c r="K42" s="2">
        <v>325</v>
      </c>
      <c r="L42" s="2">
        <v>368</v>
      </c>
      <c r="M42" s="2">
        <v>-776.02</v>
      </c>
      <c r="N42" s="2">
        <v>0</v>
      </c>
      <c r="O42" s="2">
        <v>0</v>
      </c>
      <c r="P42" s="9"/>
      <c r="Q42" s="2">
        <f>SUM(OSRRefD21_1_6x)+IFERROR(SUM(OSRRefE21_1_6x),0)</f>
        <v>147.69000000000005</v>
      </c>
    </row>
    <row r="43" spans="1:17" s="34" customFormat="1" hidden="1" outlineLevel="1" x14ac:dyDescent="0.25">
      <c r="A43" s="35"/>
      <c r="B43" s="10" t="str">
        <f>CONCATENATE("          ","6008", " - ","STUDENT HOURLY-FICA EXEMPT")</f>
        <v xml:space="preserve">          6008 - STUDENT HOURLY-FICA EXEMPT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25">
      <c r="A44" s="35"/>
      <c r="B44" s="10" t="str">
        <f>CONCATENATE("          ","6009", " - ","TEMPORARY-SEASONAL")</f>
        <v xml:space="preserve">          6009 - TEMPORARY-SEASONAL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0" t="str">
        <f>CONCATENATE("          ","6010", " - ","GRATUITY")</f>
        <v xml:space="preserve">          6010 - GRATUITY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1" t="str">
        <f>CONCATENATE("     ","Advertising/Promo                                 ")</f>
        <v xml:space="preserve">     Advertising/Promo                                 </v>
      </c>
      <c r="C46" s="11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SUM(OSRRefD21_2x_7)</f>
        <v>-5.35</v>
      </c>
      <c r="L46" s="1">
        <f>SUM(OSRRefD21_2x_8)</f>
        <v>155.19</v>
      </c>
      <c r="M46" s="1">
        <f>SUM(OSRRefD21_2x_9)</f>
        <v>4.58</v>
      </c>
      <c r="N46" s="1">
        <f>SUM(OSRRefE21_2x_0)</f>
        <v>0</v>
      </c>
      <c r="O46" s="1">
        <f>SUM(OSRRefE21_2x_1)</f>
        <v>0</v>
      </c>
      <c r="Q46" s="2">
        <f>SUM(OSRRefD20_2x)+IFERROR(SUM(OSRRefE20_2x),0)</f>
        <v>293.77</v>
      </c>
    </row>
    <row r="47" spans="1:17" s="34" customFormat="1" hidden="1" outlineLevel="1" x14ac:dyDescent="0.25">
      <c r="A47" s="35"/>
      <c r="B47" s="10" t="str">
        <f>CONCATENATE("          ","6362", " - ","ADVERTISING EXPENSE")</f>
        <v xml:space="preserve">          6362 - ADVERTISING EXPENSE</v>
      </c>
      <c r="C47" s="11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-5.35</v>
      </c>
      <c r="L47" s="2">
        <v>155.19</v>
      </c>
      <c r="M47" s="2">
        <v>4.58</v>
      </c>
      <c r="N47" s="2">
        <v>0</v>
      </c>
      <c r="O47" s="2">
        <v>0</v>
      </c>
      <c r="P47" s="9"/>
      <c r="Q47" s="2">
        <f>SUM(OSRRefD21_2_0x)+IFERROR(SUM(OSRRefE21_2_0x),0)</f>
        <v>293.77</v>
      </c>
    </row>
    <row r="48" spans="1:17" s="34" customFormat="1" collapsed="1" x14ac:dyDescent="0.25">
      <c r="A48" s="35"/>
      <c r="B48" s="11" t="str">
        <f>CONCATENATE("     ","Bad Debts/Over/Short                              ")</f>
        <v xml:space="preserve">     Bad Debts/Over/Short                              </v>
      </c>
      <c r="C48" s="11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SUM(OSRRefD21_3x_7)</f>
        <v>0</v>
      </c>
      <c r="L48" s="1">
        <f>SUM(OSRRefD21_3x_8)</f>
        <v>-0.39</v>
      </c>
      <c r="M48" s="1">
        <f>SUM(OSRRefD21_3x_9)</f>
        <v>0.57999999999999996</v>
      </c>
      <c r="N48" s="1">
        <f>SUM(OSRRefE21_3x_0)</f>
        <v>0</v>
      </c>
      <c r="O48" s="1">
        <f>SUM(OSRRefE21_3x_1)</f>
        <v>0</v>
      </c>
      <c r="Q48" s="2">
        <f>SUM(OSRRefD20_3x)+IFERROR(SUM(OSRRefE20_3x),0)</f>
        <v>8.9799999999999542</v>
      </c>
    </row>
    <row r="49" spans="1:17" s="34" customFormat="1" hidden="1" outlineLevel="1" x14ac:dyDescent="0.25">
      <c r="A49" s="35"/>
      <c r="B49" s="10" t="str">
        <f>CONCATENATE("          ","6272", " - ","CASH (OVER/SHORT)")</f>
        <v xml:space="preserve">          6272 - CASH (OVER/SHORT)</v>
      </c>
      <c r="C49" s="11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/>
      <c r="K49" s="2"/>
      <c r="L49" s="2">
        <v>-0.39</v>
      </c>
      <c r="M49" s="2">
        <v>0.57999999999999996</v>
      </c>
      <c r="N49" s="2">
        <v>0</v>
      </c>
      <c r="O49" s="2">
        <v>0</v>
      </c>
      <c r="P49" s="9"/>
      <c r="Q49" s="2">
        <f>SUM(OSRRefD21_3_0x)+IFERROR(SUM(OSRRefE21_3_0x),0)</f>
        <v>8.9799999999999542</v>
      </c>
    </row>
    <row r="50" spans="1:17" s="34" customFormat="1" collapsed="1" x14ac:dyDescent="0.25">
      <c r="A50" s="35"/>
      <c r="B50" s="11" t="str">
        <f>CONCATENATE("     ","Bank/card Fees                                    ")</f>
        <v xml:space="preserve">     Bank/card Fees                                    </v>
      </c>
      <c r="C50" s="11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SUM(OSRRefD21_4x_6)</f>
        <v>179.1</v>
      </c>
      <c r="K50" s="1">
        <f>SUM(OSRRefD21_4x_7)</f>
        <v>74.95</v>
      </c>
      <c r="L50" s="1">
        <f>SUM(OSRRefD21_4x_8)</f>
        <v>156.55000000000001</v>
      </c>
      <c r="M50" s="1">
        <f>SUM(OSRRefD21_4x_9)</f>
        <v>472.29</v>
      </c>
      <c r="N50" s="1">
        <f>SUM(OSRRefE21_4x_0)</f>
        <v>398</v>
      </c>
      <c r="O50" s="1">
        <f>SUM(OSRRefE21_4x_1)</f>
        <v>413</v>
      </c>
      <c r="Q50" s="2">
        <f>SUM(OSRRefD20_4x)+IFERROR(SUM(OSRRefE20_4x),0)</f>
        <v>2760.74</v>
      </c>
    </row>
    <row r="51" spans="1:17" s="34" customFormat="1" hidden="1" outlineLevel="1" x14ac:dyDescent="0.25">
      <c r="A51" s="35"/>
      <c r="B51" s="10" t="str">
        <f>CONCATENATE("          ","6381", " - ","BANK/CREDIT CARD FEES")</f>
        <v xml:space="preserve">          6381 - BANK/CREDIT CARD FEES</v>
      </c>
      <c r="C51" s="11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179.1</v>
      </c>
      <c r="K51" s="2">
        <v>74.95</v>
      </c>
      <c r="L51" s="2">
        <v>156.55000000000001</v>
      </c>
      <c r="M51" s="2">
        <v>472.29</v>
      </c>
      <c r="N51" s="2">
        <v>398</v>
      </c>
      <c r="O51" s="2">
        <v>413</v>
      </c>
      <c r="P51" s="9"/>
      <c r="Q51" s="2">
        <f>SUM(OSRRefD21_4_0x)+IFERROR(SUM(OSRRefE21_4_0x),0)</f>
        <v>2760.74</v>
      </c>
    </row>
    <row r="52" spans="1:17" s="34" customFormat="1" collapsed="1" x14ac:dyDescent="0.25">
      <c r="A52" s="35"/>
      <c r="B52" s="11" t="str">
        <f>CONCATENATE("     ","Depreciation                                      ")</f>
        <v xml:space="preserve">     Depreciation                                      </v>
      </c>
      <c r="C52" s="11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SUM(OSRRefD21_5x_6)</f>
        <v>13902.32</v>
      </c>
      <c r="K52" s="1">
        <f>SUM(OSRRefD21_5x_7)</f>
        <v>13902.32</v>
      </c>
      <c r="L52" s="1">
        <f>SUM(OSRRefD21_5x_8)</f>
        <v>13902.32</v>
      </c>
      <c r="M52" s="1">
        <f>SUM(OSRRefD21_5x_9)</f>
        <v>13902.32</v>
      </c>
      <c r="N52" s="1">
        <f>SUM(OSRRefE21_5x_0)</f>
        <v>13630</v>
      </c>
      <c r="O52" s="1">
        <f>SUM(OSRRefE21_5x_1)</f>
        <v>13630</v>
      </c>
      <c r="Q52" s="2">
        <f>SUM(OSRRefD20_5x)+IFERROR(SUM(OSRRefE20_5x),0)</f>
        <v>166248.48000000004</v>
      </c>
    </row>
    <row r="53" spans="1:17" s="34" customFormat="1" hidden="1" outlineLevel="1" x14ac:dyDescent="0.25">
      <c r="A53" s="35"/>
      <c r="B53" s="10" t="str">
        <f>CONCATENATE("          ","6321", " - ","BUILDING DEPRECIATION")</f>
        <v xml:space="preserve">          6321 - BUILDING DEPRECIATION</v>
      </c>
      <c r="C53" s="11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>
        <v>10597.26</v>
      </c>
      <c r="L53" s="2">
        <v>10597.26</v>
      </c>
      <c r="M53" s="2">
        <v>10597.26</v>
      </c>
      <c r="N53" s="2"/>
      <c r="O53" s="2"/>
      <c r="P53" s="9"/>
      <c r="Q53" s="2">
        <f>SUM(OSRRefD21_5_0x)+IFERROR(SUM(OSRRefE21_5_0x),0)</f>
        <v>105972.59999999999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3305.06</v>
      </c>
      <c r="K54" s="2">
        <v>3305.06</v>
      </c>
      <c r="L54" s="2">
        <v>3305.06</v>
      </c>
      <c r="M54" s="2">
        <v>3305.06</v>
      </c>
      <c r="N54" s="2">
        <v>13630</v>
      </c>
      <c r="O54" s="2">
        <v>13630</v>
      </c>
      <c r="P54" s="9"/>
      <c r="Q54" s="2">
        <f>SUM(OSRRefD21_5_1x)+IFERROR(SUM(OSRRefE21_5_1x),0)</f>
        <v>60275.880000000005</v>
      </c>
    </row>
    <row r="55" spans="1:17" s="34" customFormat="1" collapsed="1" x14ac:dyDescent="0.25">
      <c r="A55" s="35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SUM(OSRRefD21_6x_9)</f>
        <v>0</v>
      </c>
      <c r="N55" s="1">
        <f>SUM(OSRRefE21_6x_0)</f>
        <v>0</v>
      </c>
      <c r="O55" s="1">
        <f>SUM(OSRRefE21_6x_1)</f>
        <v>0</v>
      </c>
      <c r="Q55" s="2">
        <f>SUM(OSRRefD20_6x)+IFERROR(SUM(OSRRefE20_6x),0)</f>
        <v>10</v>
      </c>
    </row>
    <row r="56" spans="1:17" s="34" customFormat="1" hidden="1" outlineLevel="1" x14ac:dyDescent="0.25">
      <c r="A56" s="35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10</v>
      </c>
    </row>
    <row r="57" spans="1:17" s="34" customFormat="1" collapsed="1" x14ac:dyDescent="0.25">
      <c r="A57" s="35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SUM(OSRRefD21_7x_6)</f>
        <v>0</v>
      </c>
      <c r="K57" s="1">
        <f>SUM(OSRRefD21_7x_7)</f>
        <v>255.55</v>
      </c>
      <c r="L57" s="1">
        <f>SUM(OSRRefD21_7x_8)</f>
        <v>72.540000000000006</v>
      </c>
      <c r="M57" s="1">
        <f>SUM(OSRRefD21_7x_9)</f>
        <v>476.33</v>
      </c>
      <c r="N57" s="1">
        <f>SUM(OSRRefE21_7x_0)</f>
        <v>146</v>
      </c>
      <c r="O57" s="1">
        <f>SUM(OSRRefE21_7x_1)</f>
        <v>95</v>
      </c>
      <c r="Q57" s="2">
        <f>SUM(OSRRefD20_7x)+IFERROR(SUM(OSRRefE20_7x),0)</f>
        <v>2045.4899999999998</v>
      </c>
    </row>
    <row r="58" spans="1:17" s="34" customFormat="1" hidden="1" outlineLevel="1" x14ac:dyDescent="0.25">
      <c r="A58" s="35"/>
      <c r="B58" s="10" t="str">
        <f>CONCATENATE("          ","6351", " - ","EQUIPMENT RENTAL")</f>
        <v xml:space="preserve">          6351 - EQUIPMENT RENTAL</v>
      </c>
      <c r="C58" s="11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/>
      <c r="K58" s="2">
        <v>255.55</v>
      </c>
      <c r="L58" s="2">
        <v>72.540000000000006</v>
      </c>
      <c r="M58" s="2">
        <v>476.33</v>
      </c>
      <c r="N58" s="2">
        <v>146</v>
      </c>
      <c r="O58" s="2">
        <v>95</v>
      </c>
      <c r="P58" s="9"/>
      <c r="Q58" s="2">
        <f>SUM(OSRRefD21_7_0x)+IFERROR(SUM(OSRRefE21_7_0x),0)</f>
        <v>2045.4899999999998</v>
      </c>
    </row>
    <row r="59" spans="1:17" s="34" customFormat="1" collapsed="1" x14ac:dyDescent="0.25">
      <c r="A59" s="35"/>
      <c r="B59" s="11" t="str">
        <f>CONCATENATE("     ","General                                           ")</f>
        <v xml:space="preserve">     General                                           </v>
      </c>
      <c r="C59" s="11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SUM(OSRRefD21_8x_6)</f>
        <v>0</v>
      </c>
      <c r="K59" s="1">
        <f>SUM(OSRRefD21_8x_7)</f>
        <v>88.62</v>
      </c>
      <c r="L59" s="1">
        <f>SUM(OSRRefD21_8x_8)</f>
        <v>0</v>
      </c>
      <c r="M59" s="1">
        <f>SUM(OSRRefD21_8x_9)</f>
        <v>0</v>
      </c>
      <c r="N59" s="1">
        <f>SUM(OSRRefE21_8x_0)</f>
        <v>0</v>
      </c>
      <c r="O59" s="1">
        <f>SUM(OSRRefE21_8x_1)</f>
        <v>0</v>
      </c>
      <c r="Q59" s="2">
        <f>SUM(OSRRefD20_8x)+IFERROR(SUM(OSRRefE20_8x),0)</f>
        <v>2498.6899999999996</v>
      </c>
    </row>
    <row r="60" spans="1:17" s="34" customFormat="1" hidden="1" outlineLevel="1" x14ac:dyDescent="0.25">
      <c r="A60" s="35"/>
      <c r="B60" s="10" t="str">
        <f>CONCATENATE("          ","6279", " - ","GENERAL EXPENSE")</f>
        <v xml:space="preserve">          6279 - GENERAL EXPENSE</v>
      </c>
      <c r="C60" s="11"/>
      <c r="D60" s="2">
        <v>1404.55</v>
      </c>
      <c r="E60" s="2"/>
      <c r="F60" s="2">
        <v>550.52</v>
      </c>
      <c r="G60" s="2"/>
      <c r="H60" s="2"/>
      <c r="I60" s="2">
        <v>455</v>
      </c>
      <c r="J60" s="2"/>
      <c r="K60" s="2">
        <v>88.62</v>
      </c>
      <c r="L60" s="2"/>
      <c r="M60" s="2"/>
      <c r="N60" s="2">
        <v>0</v>
      </c>
      <c r="O60" s="2">
        <v>0</v>
      </c>
      <c r="P60" s="9"/>
      <c r="Q60" s="2">
        <f>SUM(OSRRefD21_8_0x)+IFERROR(SUM(OSRRefE21_8_0x),0)</f>
        <v>2498.6899999999996</v>
      </c>
    </row>
    <row r="61" spans="1:17" s="34" customFormat="1" collapsed="1" x14ac:dyDescent="0.25">
      <c r="A61" s="35"/>
      <c r="B61" s="11" t="str">
        <f>CONCATENATE("     ","Insurance                                         ")</f>
        <v xml:space="preserve">     Insurance                                         </v>
      </c>
      <c r="C61" s="11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SUM(OSRRefD21_9x_6)</f>
        <v>641.28</v>
      </c>
      <c r="K61" s="1">
        <f>SUM(OSRRefD21_9x_7)</f>
        <v>641.28</v>
      </c>
      <c r="L61" s="1">
        <f>SUM(OSRRefD21_9x_8)</f>
        <v>641.28</v>
      </c>
      <c r="M61" s="1">
        <f>SUM(OSRRefD21_9x_9)</f>
        <v>641.28</v>
      </c>
      <c r="N61" s="1">
        <f>SUM(OSRRefE21_9x_0)</f>
        <v>705</v>
      </c>
      <c r="O61" s="1">
        <f>SUM(OSRRefE21_9x_1)</f>
        <v>705</v>
      </c>
      <c r="Q61" s="2">
        <f>SUM(OSRRefD20_9x)+IFERROR(SUM(OSRRefE20_9x),0)</f>
        <v>7822.7999999999984</v>
      </c>
    </row>
    <row r="62" spans="1:17" s="34" customFormat="1" hidden="1" outlineLevel="1" x14ac:dyDescent="0.25">
      <c r="A62" s="35"/>
      <c r="B62" s="10" t="str">
        <f>CONCATENATE("          ","6314", " - ","LIABILITY INSURANCE")</f>
        <v xml:space="preserve">          6314 - LIABILITY INSURANCE</v>
      </c>
      <c r="C62" s="11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641.28</v>
      </c>
      <c r="K62" s="2">
        <v>641.28</v>
      </c>
      <c r="L62" s="2">
        <v>641.28</v>
      </c>
      <c r="M62" s="2">
        <v>641.28</v>
      </c>
      <c r="N62" s="2">
        <v>705</v>
      </c>
      <c r="O62" s="2">
        <v>705</v>
      </c>
      <c r="P62" s="9"/>
      <c r="Q62" s="2">
        <f>SUM(OSRRefD21_9_0x)+IFERROR(SUM(OSRRefE21_9_0x),0)</f>
        <v>7822.7999999999984</v>
      </c>
    </row>
    <row r="63" spans="1:17" s="34" customFormat="1" collapsed="1" x14ac:dyDescent="0.25">
      <c r="A63" s="35"/>
      <c r="B63" s="11" t="str">
        <f>CONCATENATE("     ","Interest                                          ")</f>
        <v xml:space="preserve">     Interest                                          </v>
      </c>
      <c r="C63" s="11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SUM(OSRRefD21_10x_6)</f>
        <v>7510</v>
      </c>
      <c r="K63" s="1">
        <f>SUM(OSRRefD21_10x_7)</f>
        <v>7510</v>
      </c>
      <c r="L63" s="1">
        <f>SUM(OSRRefD21_10x_8)</f>
        <v>7510</v>
      </c>
      <c r="M63" s="1">
        <f>SUM(OSRRefD21_10x_9)</f>
        <v>5967</v>
      </c>
      <c r="N63" s="1">
        <f>SUM(OSRRefE21_10x_0)</f>
        <v>7253</v>
      </c>
      <c r="O63" s="1">
        <f>SUM(OSRRefE21_10x_1)</f>
        <v>7253</v>
      </c>
      <c r="Q63" s="2">
        <f>SUM(OSRRefD20_10x)+IFERROR(SUM(OSRRefE20_10x),0)</f>
        <v>87576.15</v>
      </c>
    </row>
    <row r="64" spans="1:17" s="34" customFormat="1" hidden="1" outlineLevel="1" x14ac:dyDescent="0.25">
      <c r="A64" s="35"/>
      <c r="B64" s="10" t="str">
        <f>CONCATENATE("          ","6401", " - ","INTEREST EXPENSE")</f>
        <v xml:space="preserve">          6401 - INTEREST EXPENSE</v>
      </c>
      <c r="C64" s="11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5967</v>
      </c>
      <c r="N64" s="2">
        <v>7253</v>
      </c>
      <c r="O64" s="2">
        <v>7253</v>
      </c>
      <c r="P64" s="9"/>
      <c r="Q64" s="2">
        <f>SUM(OSRRefD21_10_0x)+IFERROR(SUM(OSRRefE21_10_0x),0)</f>
        <v>87576.15</v>
      </c>
    </row>
    <row r="65" spans="1:17" s="34" customFormat="1" collapsed="1" x14ac:dyDescent="0.25">
      <c r="A65" s="35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SUM(OSRRefD21_11x_6)</f>
        <v>2871.11</v>
      </c>
      <c r="K65" s="1">
        <f>SUM(OSRRefD21_11x_7)</f>
        <v>315</v>
      </c>
      <c r="L65" s="1">
        <f>SUM(OSRRefD21_11x_8)</f>
        <v>6886.58</v>
      </c>
      <c r="M65" s="1">
        <f>SUM(OSRRefD21_11x_9)</f>
        <v>1980.63</v>
      </c>
      <c r="N65" s="1">
        <f>SUM(OSRRefE21_11x_0)</f>
        <v>1000</v>
      </c>
      <c r="O65" s="1">
        <f>SUM(OSRRefE21_11x_1)</f>
        <v>0</v>
      </c>
      <c r="Q65" s="2">
        <f>SUM(OSRRefD20_11x)+IFERROR(SUM(OSRRefE20_11x),0)</f>
        <v>25624.91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1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>
        <v>871.52</v>
      </c>
      <c r="M66" s="2"/>
      <c r="N66" s="2"/>
      <c r="O66" s="2"/>
      <c r="P66" s="9"/>
      <c r="Q66" s="2">
        <f>SUM(OSRRefD21_11_0x)+IFERROR(SUM(OSRRefE21_11_0x),0)</f>
        <v>7467.8600000000006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1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2871.11</v>
      </c>
      <c r="K67" s="2">
        <v>315</v>
      </c>
      <c r="L67" s="2">
        <v>6015.06</v>
      </c>
      <c r="M67" s="2">
        <v>1980.63</v>
      </c>
      <c r="N67" s="2">
        <v>1000</v>
      </c>
      <c r="O67" s="2"/>
      <c r="P67" s="9"/>
      <c r="Q67" s="2">
        <f>SUM(OSRRefD21_11_1x)+IFERROR(SUM(OSRRefE21_11_1x),0)</f>
        <v>18157.050000000003</v>
      </c>
    </row>
    <row r="68" spans="1:17" s="34" customFormat="1" collapsed="1" x14ac:dyDescent="0.25">
      <c r="A68" s="35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SUM(OSRRefD21_12x_6)</f>
        <v>2314.16</v>
      </c>
      <c r="K68" s="1">
        <f>SUM(OSRRefD21_12x_7)</f>
        <v>1111.95</v>
      </c>
      <c r="L68" s="1">
        <f>SUM(OSRRefD21_12x_8)</f>
        <v>-2676.7</v>
      </c>
      <c r="M68" s="1">
        <f>SUM(OSRRefD21_12x_9)</f>
        <v>5425.42</v>
      </c>
      <c r="N68" s="1">
        <f>SUM(OSRRefE21_12x_0)</f>
        <v>3993</v>
      </c>
      <c r="O68" s="1">
        <f>SUM(OSRRefE21_12x_1)</f>
        <v>4141</v>
      </c>
      <c r="Q68" s="2">
        <f>SUM(OSRRefD20_12x)+IFERROR(SUM(OSRRefE20_12x),0)</f>
        <v>34778.85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1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1314.16</v>
      </c>
      <c r="K69" s="2"/>
      <c r="L69" s="2">
        <v>328.54</v>
      </c>
      <c r="M69" s="2">
        <v>1039.9000000000001</v>
      </c>
      <c r="N69" s="2">
        <v>329</v>
      </c>
      <c r="O69" s="2">
        <v>329</v>
      </c>
      <c r="P69" s="9"/>
      <c r="Q69" s="2">
        <f>SUM(OSRRefD21_12_0x)+IFERROR(SUM(OSRRefE21_12_0x),0)</f>
        <v>4806.63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1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1000</v>
      </c>
      <c r="K70" s="2">
        <v>1000</v>
      </c>
      <c r="L70" s="2">
        <v>-4698</v>
      </c>
      <c r="M70" s="2">
        <v>1000</v>
      </c>
      <c r="N70" s="2">
        <v>623</v>
      </c>
      <c r="O70" s="2">
        <v>623</v>
      </c>
      <c r="P70" s="9"/>
      <c r="Q70" s="2">
        <f>SUM(OSRRefD21_12_1x)+IFERROR(SUM(OSRRefE21_12_1x),0)</f>
        <v>5309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1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>
        <v>0</v>
      </c>
      <c r="K71" s="2">
        <v>0</v>
      </c>
      <c r="L71" s="2">
        <v>1692.76</v>
      </c>
      <c r="M71" s="2">
        <v>3385.52</v>
      </c>
      <c r="N71" s="2">
        <v>3041</v>
      </c>
      <c r="O71" s="2">
        <v>3041</v>
      </c>
      <c r="P71" s="9"/>
      <c r="Q71" s="2">
        <f>SUM(OSRRefD21_12_2x)+IFERROR(SUM(OSRRefE21_12_2x),0)</f>
        <v>23931.09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1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111.95</v>
      </c>
      <c r="L72" s="2"/>
      <c r="M72" s="2"/>
      <c r="N72" s="2"/>
      <c r="O72" s="2">
        <v>148</v>
      </c>
      <c r="P72" s="9"/>
      <c r="Q72" s="2">
        <f>SUM(OSRRefD21_12_3x)+IFERROR(SUM(OSRRefE21_12_3x),0)</f>
        <v>732.13</v>
      </c>
    </row>
    <row r="73" spans="1:17" s="34" customFormat="1" collapsed="1" x14ac:dyDescent="0.25">
      <c r="A73" s="35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SUM(OSRRefD21_13x_6)</f>
        <v>0</v>
      </c>
      <c r="K73" s="1">
        <f>SUM(OSRRefD21_13x_7)</f>
        <v>262.83999999999997</v>
      </c>
      <c r="L73" s="1">
        <f>SUM(OSRRefD21_13x_8)</f>
        <v>0</v>
      </c>
      <c r="M73" s="1">
        <f>SUM(OSRRefD21_13x_9)</f>
        <v>0</v>
      </c>
      <c r="N73" s="1">
        <f>SUM(OSRRefE21_13x_0)</f>
        <v>200</v>
      </c>
      <c r="O73" s="1">
        <f>SUM(OSRRefE21_13x_1)</f>
        <v>200</v>
      </c>
      <c r="Q73" s="2">
        <f>SUM(OSRRefD20_13x)+IFERROR(SUM(OSRRefE20_13x),0)</f>
        <v>1197.01</v>
      </c>
    </row>
    <row r="74" spans="1:17" s="34" customFormat="1" hidden="1" outlineLevel="1" x14ac:dyDescent="0.25">
      <c r="A74" s="35"/>
      <c r="B74" s="10" t="str">
        <f>CONCATENATE("          ","6275", " - ","SUBSCRIPTIONS")</f>
        <v xml:space="preserve">          6275 - SUBSCRIPTIONS</v>
      </c>
      <c r="C74" s="11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262.83999999999997</v>
      </c>
      <c r="L74" s="2"/>
      <c r="M74" s="2"/>
      <c r="N74" s="2">
        <v>200</v>
      </c>
      <c r="O74" s="2">
        <v>200</v>
      </c>
      <c r="P74" s="9"/>
      <c r="Q74" s="2">
        <f>SUM(OSRRefD21_13_0x)+IFERROR(SUM(OSRRefE21_13_0x),0)</f>
        <v>1197.01</v>
      </c>
    </row>
    <row r="75" spans="1:17" s="34" customFormat="1" collapsed="1" x14ac:dyDescent="0.25">
      <c r="A75" s="35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SUM(OSRRefD21_14x_6)</f>
        <v>80.47</v>
      </c>
      <c r="K75" s="1">
        <f>SUM(OSRRefD21_14x_7)</f>
        <v>71.180000000000007</v>
      </c>
      <c r="L75" s="1">
        <f>SUM(OSRRefD21_14x_8)</f>
        <v>94.92</v>
      </c>
      <c r="M75" s="1">
        <f>SUM(OSRRefD21_14x_9)</f>
        <v>621.09</v>
      </c>
      <c r="N75" s="1">
        <f>SUM(OSRRefE21_14x_0)</f>
        <v>950</v>
      </c>
      <c r="O75" s="1">
        <f>SUM(OSRRefE21_14x_1)</f>
        <v>950</v>
      </c>
      <c r="Q75" s="2">
        <f>SUM(OSRRefD20_14x)+IFERROR(SUM(OSRRefE20_14x),0)</f>
        <v>10273.02</v>
      </c>
    </row>
    <row r="76" spans="1:17" s="34" customFormat="1" hidden="1" outlineLevel="1" x14ac:dyDescent="0.25">
      <c r="A76" s="35"/>
      <c r="B76" s="10" t="str">
        <f>CONCATENATE("          ","6234", " - ","EXPENDABLE SUPPLIES &amp; EQUIPMEN")</f>
        <v xml:space="preserve">          6234 - EXPENDABLE SUPPLIES &amp; EQUIPMEN</v>
      </c>
      <c r="C76" s="11"/>
      <c r="D76" s="2"/>
      <c r="E76" s="2">
        <v>255.78</v>
      </c>
      <c r="F76" s="2"/>
      <c r="G76" s="2">
        <v>55.13</v>
      </c>
      <c r="H76" s="2"/>
      <c r="I76" s="2"/>
      <c r="J76" s="2"/>
      <c r="K76" s="2"/>
      <c r="L76" s="2"/>
      <c r="M76" s="2">
        <v>26.25</v>
      </c>
      <c r="N76" s="2">
        <v>500</v>
      </c>
      <c r="O76" s="2">
        <v>500</v>
      </c>
      <c r="P76" s="9"/>
      <c r="Q76" s="2">
        <f>SUM(OSRRefD21_14_0x)+IFERROR(SUM(OSRRefE21_14_0x),0)</f>
        <v>1337.16</v>
      </c>
    </row>
    <row r="77" spans="1:17" s="34" customFormat="1" hidden="1" outlineLevel="1" x14ac:dyDescent="0.25">
      <c r="A77" s="35"/>
      <c r="B77" s="10" t="str">
        <f>CONCATENATE("          ","6235", " - ","COVID-19 EXPENSES")</f>
        <v xml:space="preserve">          6235 - COVID-19 EXPENSES</v>
      </c>
      <c r="C77" s="11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>
        <v>65.45</v>
      </c>
      <c r="N77" s="2"/>
      <c r="O77" s="2"/>
      <c r="P77" s="9"/>
      <c r="Q77" s="2">
        <f>SUM(OSRRefD21_14_1x)+IFERROR(SUM(OSRRefE21_14_1x),0)</f>
        <v>6819.42</v>
      </c>
    </row>
    <row r="78" spans="1:17" s="34" customFormat="1" hidden="1" outlineLevel="1" x14ac:dyDescent="0.25">
      <c r="A78" s="35"/>
      <c r="B78" s="10" t="str">
        <f>CONCATENATE("          ","6237", " - ","JANITORIAL SUPPLIES")</f>
        <v xml:space="preserve">          6237 - JANITORIAL SUPPLIES</v>
      </c>
      <c r="C78" s="11"/>
      <c r="D78" s="2"/>
      <c r="E78" s="2"/>
      <c r="F78" s="2"/>
      <c r="G78" s="2">
        <v>268.05</v>
      </c>
      <c r="H78" s="2"/>
      <c r="I78" s="2">
        <v>18.86</v>
      </c>
      <c r="J78" s="2"/>
      <c r="K78" s="2"/>
      <c r="L78" s="2"/>
      <c r="M78" s="2"/>
      <c r="N78" s="2">
        <v>200</v>
      </c>
      <c r="O78" s="2">
        <v>200</v>
      </c>
      <c r="P78" s="9"/>
      <c r="Q78" s="2">
        <f>SUM(OSRRefD21_14_2x)+IFERROR(SUM(OSRRefE21_14_2x),0)</f>
        <v>686.91000000000008</v>
      </c>
    </row>
    <row r="79" spans="1:17" s="34" customFormat="1" hidden="1" outlineLevel="1" x14ac:dyDescent="0.25">
      <c r="A79" s="35"/>
      <c r="B79" s="10" t="str">
        <f>CONCATENATE("          ","6239", " - ","KITCHEN SUPPLIES")</f>
        <v xml:space="preserve">          6239 - KITCHEN SUPPLIES</v>
      </c>
      <c r="C79" s="11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4" customFormat="1" hidden="1" outlineLevel="1" x14ac:dyDescent="0.25">
      <c r="A80" s="35"/>
      <c r="B80" s="10" t="str">
        <f>CONCATENATE("          ","6241", " - ","OFFICE EXPENSE")</f>
        <v xml:space="preserve">          6241 - OFFICE EXPENSE</v>
      </c>
      <c r="C80" s="11"/>
      <c r="D80" s="2">
        <v>6.62</v>
      </c>
      <c r="E80" s="2">
        <v>0</v>
      </c>
      <c r="F80" s="2">
        <v>9.3699999999999992</v>
      </c>
      <c r="G80" s="2">
        <v>117.75</v>
      </c>
      <c r="H80" s="2"/>
      <c r="I80" s="2"/>
      <c r="J80" s="2">
        <v>14.98</v>
      </c>
      <c r="K80" s="2">
        <v>71.180000000000007</v>
      </c>
      <c r="L80" s="2"/>
      <c r="M80" s="2">
        <v>434.47</v>
      </c>
      <c r="N80" s="2"/>
      <c r="O80" s="2"/>
      <c r="P80" s="9"/>
      <c r="Q80" s="2">
        <f>SUM(OSRRefD21_14_4x)+IFERROR(SUM(OSRRefE21_14_4x),0)</f>
        <v>654.37</v>
      </c>
    </row>
    <row r="81" spans="1:17" s="34" customFormat="1" hidden="1" outlineLevel="1" x14ac:dyDescent="0.25">
      <c r="A81" s="35"/>
      <c r="B81" s="10" t="str">
        <f>CONCATENATE("          ","6243", " - ","PAPER SUPPLIES")</f>
        <v xml:space="preserve">          6243 - PAPER SUPPLIES</v>
      </c>
      <c r="C81" s="11"/>
      <c r="D81" s="2"/>
      <c r="E81" s="2"/>
      <c r="F81" s="2"/>
      <c r="G81" s="2"/>
      <c r="H81" s="2"/>
      <c r="I81" s="2"/>
      <c r="J81" s="2">
        <v>65.489999999999995</v>
      </c>
      <c r="K81" s="2"/>
      <c r="L81" s="2">
        <v>94.92</v>
      </c>
      <c r="M81" s="2">
        <v>94.92</v>
      </c>
      <c r="N81" s="2">
        <v>250</v>
      </c>
      <c r="O81" s="2">
        <v>250</v>
      </c>
      <c r="P81" s="9"/>
      <c r="Q81" s="2">
        <f>SUM(OSRRefD21_14_5x)+IFERROR(SUM(OSRRefE21_14_5x),0)</f>
        <v>755.32999999999993</v>
      </c>
    </row>
    <row r="82" spans="1:17" s="34" customFormat="1" collapsed="1" x14ac:dyDescent="0.25">
      <c r="A82" s="35"/>
      <c r="B82" s="11" t="str">
        <f>CONCATENATE("     ","Telephone/Data Lines                              ")</f>
        <v xml:space="preserve">     Telephone/Data Lines                              </v>
      </c>
      <c r="C82" s="11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SUM(OSRRefD21_15x_6)</f>
        <v>233</v>
      </c>
      <c r="K82" s="1">
        <f>SUM(OSRRefD21_15x_7)</f>
        <v>-68</v>
      </c>
      <c r="L82" s="1">
        <f>SUM(OSRRefD21_15x_8)</f>
        <v>82</v>
      </c>
      <c r="M82" s="1">
        <f>SUM(OSRRefD21_15x_9)</f>
        <v>232</v>
      </c>
      <c r="N82" s="1">
        <f>SUM(OSRRefE21_15x_0)</f>
        <v>135</v>
      </c>
      <c r="O82" s="1">
        <f>SUM(OSRRefE21_15x_1)</f>
        <v>135</v>
      </c>
      <c r="Q82" s="2">
        <f>SUM(OSRRefD20_15x)+IFERROR(SUM(OSRRefE20_15x),0)</f>
        <v>2193</v>
      </c>
    </row>
    <row r="83" spans="1:17" s="34" customFormat="1" hidden="1" outlineLevel="1" x14ac:dyDescent="0.25">
      <c r="A83" s="35"/>
      <c r="B83" s="10" t="str">
        <f>CONCATENATE("          ","6303", " - ","DATA PHONE LINES")</f>
        <v xml:space="preserve">          6303 - DATA PHONE LINES</v>
      </c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>
        <v>135</v>
      </c>
      <c r="O83" s="2">
        <v>135</v>
      </c>
      <c r="P83" s="9"/>
      <c r="Q83" s="2">
        <f>SUM(OSRRefD21_15_0x)+IFERROR(SUM(OSRRefE21_15_0x),0)</f>
        <v>270</v>
      </c>
    </row>
    <row r="84" spans="1:17" s="34" customFormat="1" hidden="1" outlineLevel="1" x14ac:dyDescent="0.25">
      <c r="A84" s="35"/>
      <c r="B84" s="10" t="str">
        <f>CONCATENATE("          ","6309", " - ","TELEPHONE")</f>
        <v xml:space="preserve">          6309 - TELEPHONE</v>
      </c>
      <c r="C84" s="11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233</v>
      </c>
      <c r="K84" s="2">
        <v>-68</v>
      </c>
      <c r="L84" s="2">
        <v>82</v>
      </c>
      <c r="M84" s="2">
        <v>232</v>
      </c>
      <c r="N84" s="2"/>
      <c r="O84" s="2"/>
      <c r="P84" s="9"/>
      <c r="Q84" s="2">
        <f>SUM(OSRRefD21_15_1x)+IFERROR(SUM(OSRRefE21_15_1x),0)</f>
        <v>1923</v>
      </c>
    </row>
    <row r="85" spans="1:17" s="34" customFormat="1" collapsed="1" x14ac:dyDescent="0.25">
      <c r="A85" s="35"/>
      <c r="B85" s="11" t="str">
        <f>CONCATENATE("     ","Training                                          ")</f>
        <v xml:space="preserve">     Training                                          </v>
      </c>
      <c r="C85" s="11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SUM(OSRRefD21_16x_8)</f>
        <v>0</v>
      </c>
      <c r="M85" s="1">
        <f>SUM(OSRRefD21_16x_9)</f>
        <v>0</v>
      </c>
      <c r="N85" s="1">
        <f>SUM(OSRRefE21_16x_0)</f>
        <v>0</v>
      </c>
      <c r="O85" s="1">
        <f>SUM(OSRRefE21_16x_1)</f>
        <v>0</v>
      </c>
      <c r="Q85" s="2">
        <f>SUM(OSRRefD20_16x)+IFERROR(SUM(OSRRefE20_16x),0)</f>
        <v>400</v>
      </c>
    </row>
    <row r="86" spans="1:17" s="34" customFormat="1" hidden="1" outlineLevel="1" x14ac:dyDescent="0.25">
      <c r="A86" s="35"/>
      <c r="B86" s="10" t="str">
        <f>CONCATENATE("          ","6376", " - ","TRAINING")</f>
        <v xml:space="preserve">          6376 - TRAINING</v>
      </c>
      <c r="C86" s="11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4" customFormat="1" collapsed="1" x14ac:dyDescent="0.25">
      <c r="A87" s="35"/>
      <c r="B87" s="11" t="str">
        <f>CONCATENATE("     ","Utilities                                         ")</f>
        <v xml:space="preserve">     Utilities                                         </v>
      </c>
      <c r="C87" s="11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SUM(OSRRefD21_17x_6)</f>
        <v>2312</v>
      </c>
      <c r="K87" s="1">
        <f>SUM(OSRRefD21_17x_7)</f>
        <v>2312</v>
      </c>
      <c r="L87" s="1">
        <f>SUM(OSRRefD21_17x_8)</f>
        <v>-10123</v>
      </c>
      <c r="M87" s="1">
        <f>SUM(OSRRefD21_17x_9)</f>
        <v>2300</v>
      </c>
      <c r="N87" s="1">
        <f>SUM(OSRRefE21_17x_0)</f>
        <v>2300</v>
      </c>
      <c r="O87" s="1">
        <f>SUM(OSRRefE21_17x_1)</f>
        <v>2300</v>
      </c>
      <c r="Q87" s="2">
        <f>SUM(OSRRefD20_17x)+IFERROR(SUM(OSRRefE20_17x),0)</f>
        <v>15225</v>
      </c>
    </row>
    <row r="88" spans="1:17" s="34" customFormat="1" hidden="1" outlineLevel="1" x14ac:dyDescent="0.25">
      <c r="A88" s="35"/>
      <c r="B88" s="10" t="str">
        <f>CONCATENATE("          ","6274", " - ","UTILITIES")</f>
        <v xml:space="preserve">          6274 - UTILITIES</v>
      </c>
      <c r="C88" s="11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2312</v>
      </c>
      <c r="K88" s="2">
        <v>2312</v>
      </c>
      <c r="L88" s="2">
        <v>-10123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15225</v>
      </c>
    </row>
    <row r="89" spans="1:17" s="30" customFormat="1" x14ac:dyDescent="0.25">
      <c r="A89" s="21"/>
      <c r="B89" s="21"/>
      <c r="C89" s="2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25">
      <c r="A90" s="23"/>
      <c r="B90" s="16" t="s">
        <v>291</v>
      </c>
      <c r="C90" s="22"/>
      <c r="D90" s="3">
        <f t="shared" ref="D90:M90" si="7">0</f>
        <v>0</v>
      </c>
      <c r="E90" s="3">
        <f t="shared" si="7"/>
        <v>0</v>
      </c>
      <c r="F90" s="3">
        <f t="shared" si="7"/>
        <v>0</v>
      </c>
      <c r="G90" s="3">
        <f t="shared" si="7"/>
        <v>0</v>
      </c>
      <c r="H90" s="3">
        <f t="shared" si="7"/>
        <v>0</v>
      </c>
      <c r="I90" s="3">
        <f t="shared" si="7"/>
        <v>0</v>
      </c>
      <c r="J90" s="3">
        <f t="shared" si="7"/>
        <v>0</v>
      </c>
      <c r="K90" s="3">
        <f t="shared" si="7"/>
        <v>0</v>
      </c>
      <c r="L90" s="3">
        <f t="shared" si="7"/>
        <v>0</v>
      </c>
      <c r="M90" s="3">
        <f t="shared" si="7"/>
        <v>0</v>
      </c>
      <c r="N90" s="3"/>
      <c r="O90" s="3"/>
      <c r="Q90" s="2">
        <f>SUM(OSRRefD23_0x)+IFERROR(SUM(OSRRefE23_0x),0)</f>
        <v>0</v>
      </c>
    </row>
    <row r="91" spans="1:17" x14ac:dyDescent="0.2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25">
      <c r="A92" s="6"/>
      <c r="B92" s="17" t="s">
        <v>274</v>
      </c>
      <c r="C92" s="17"/>
      <c r="D92" s="8">
        <f t="shared" ref="D92:O92" si="8">IFERROR(+D21-D24+D90, 0)</f>
        <v>-56656.840000000004</v>
      </c>
      <c r="E92" s="8">
        <f t="shared" si="8"/>
        <v>-67308.87</v>
      </c>
      <c r="F92" s="8">
        <f t="shared" si="8"/>
        <v>-58698.53</v>
      </c>
      <c r="G92" s="8">
        <f t="shared" si="8"/>
        <v>-68375.94</v>
      </c>
      <c r="H92" s="8">
        <f t="shared" si="8"/>
        <v>-52075.799999999996</v>
      </c>
      <c r="I92" s="8">
        <f t="shared" si="8"/>
        <v>-53976.359999999986</v>
      </c>
      <c r="J92" s="8">
        <f t="shared" si="8"/>
        <v>-59314.130000000012</v>
      </c>
      <c r="K92" s="8">
        <f t="shared" si="8"/>
        <v>-54150.95</v>
      </c>
      <c r="L92" s="8">
        <f t="shared" si="8"/>
        <v>-42383.79</v>
      </c>
      <c r="M92" s="8">
        <f t="shared" si="8"/>
        <v>-56344.039999999994</v>
      </c>
      <c r="N92" s="8">
        <f t="shared" si="8"/>
        <v>-40256.96540170769</v>
      </c>
      <c r="O92" s="8">
        <f t="shared" si="8"/>
        <v>-39362.926578476923</v>
      </c>
      <c r="Q92" s="8">
        <f>IFERROR(+Q21-Q24+Q90, 0)</f>
        <v>-648905.14198018459</v>
      </c>
    </row>
    <row r="93" spans="1:17" s="6" customFormat="1" x14ac:dyDescent="0.25">
      <c r="B93" s="16"/>
      <c r="C93" s="16"/>
      <c r="D93" s="4">
        <f t="shared" ref="D93:O93" si="9">IFERROR(D92/D10, 0)</f>
        <v>0</v>
      </c>
      <c r="E93" s="4">
        <f t="shared" si="9"/>
        <v>-14.263557070019962</v>
      </c>
      <c r="F93" s="4">
        <f t="shared" si="9"/>
        <v>-6.7643348141489925</v>
      </c>
      <c r="G93" s="4">
        <f t="shared" si="9"/>
        <v>-5.1450674624763257</v>
      </c>
      <c r="H93" s="4">
        <f t="shared" si="9"/>
        <v>-6.0149554386143222</v>
      </c>
      <c r="I93" s="4">
        <f t="shared" si="9"/>
        <v>-5.5124155158714743</v>
      </c>
      <c r="J93" s="4">
        <f t="shared" si="9"/>
        <v>0</v>
      </c>
      <c r="K93" s="4">
        <f t="shared" si="9"/>
        <v>0</v>
      </c>
      <c r="L93" s="4">
        <f t="shared" si="9"/>
        <v>-7.7311927007139492</v>
      </c>
      <c r="M93" s="4">
        <f t="shared" si="9"/>
        <v>-4.4116043339299615</v>
      </c>
      <c r="N93" s="4">
        <f t="shared" si="9"/>
        <v>-7.5956538493788095</v>
      </c>
      <c r="O93" s="4">
        <f t="shared" si="9"/>
        <v>-7.1568957415412591</v>
      </c>
      <c r="P93" s="18"/>
      <c r="Q93" s="4">
        <f>IFERROR(Q92/Q10, 0)</f>
        <v>-8.7465711795981349</v>
      </c>
    </row>
    <row r="94" spans="1:17" x14ac:dyDescent="0.25">
      <c r="A94" s="5"/>
      <c r="B94" s="6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25">
      <c r="A95" s="25"/>
      <c r="B95" s="6" t="s">
        <v>125</v>
      </c>
      <c r="C95" s="6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-157.74</v>
      </c>
      <c r="K95" s="3">
        <v>745.16</v>
      </c>
      <c r="L95" s="3">
        <v>1493.44</v>
      </c>
      <c r="M95" s="3">
        <v>2829.45</v>
      </c>
      <c r="N95" s="3">
        <v>2540</v>
      </c>
      <c r="O95" s="3">
        <v>2570</v>
      </c>
      <c r="Q95" s="2">
        <f>SUM(OSRRefD28_0x)+IFERROR(SUM(OSRRefE28_0x),0)</f>
        <v>18371.37</v>
      </c>
    </row>
    <row r="96" spans="1:17" x14ac:dyDescent="0.2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.75" thickBot="1" x14ac:dyDescent="0.3">
      <c r="A97" s="6"/>
      <c r="B97" s="17" t="s">
        <v>124</v>
      </c>
      <c r="C97" s="17"/>
      <c r="D97" s="7">
        <f t="shared" ref="D97:O97" si="10">IFERROR(+D92-D95, 0)</f>
        <v>-56656.840000000004</v>
      </c>
      <c r="E97" s="7">
        <f t="shared" si="10"/>
        <v>-68105.599999999991</v>
      </c>
      <c r="F97" s="7">
        <f t="shared" si="10"/>
        <v>-60383.59</v>
      </c>
      <c r="G97" s="7">
        <f t="shared" si="10"/>
        <v>-71674.960000000006</v>
      </c>
      <c r="H97" s="7">
        <f t="shared" si="10"/>
        <v>-51911.139999999992</v>
      </c>
      <c r="I97" s="7">
        <f t="shared" si="10"/>
        <v>-56711.26999999999</v>
      </c>
      <c r="J97" s="7">
        <f t="shared" si="10"/>
        <v>-59156.390000000014</v>
      </c>
      <c r="K97" s="7">
        <f t="shared" si="10"/>
        <v>-54896.11</v>
      </c>
      <c r="L97" s="7">
        <f t="shared" si="10"/>
        <v>-43877.23</v>
      </c>
      <c r="M97" s="7">
        <f t="shared" si="10"/>
        <v>-59173.489999999991</v>
      </c>
      <c r="N97" s="7">
        <f t="shared" si="10"/>
        <v>-42796.96540170769</v>
      </c>
      <c r="O97" s="7">
        <f t="shared" si="10"/>
        <v>-41932.926578476923</v>
      </c>
      <c r="Q97" s="7">
        <f>IFERROR(+Q92-Q95, 0)</f>
        <v>-667276.51198018459</v>
      </c>
    </row>
    <row r="98" spans="1:17" ht="15.75" thickTop="1" x14ac:dyDescent="0.25">
      <c r="A98" s="5"/>
      <c r="B98" s="5"/>
      <c r="C98" s="5"/>
      <c r="D98" s="4">
        <f t="shared" ref="D98:O98" si="11">IFERROR(D97/D10, 0)</f>
        <v>0</v>
      </c>
      <c r="E98" s="4">
        <f t="shared" si="11"/>
        <v>-14.432393715537811</v>
      </c>
      <c r="F98" s="4">
        <f t="shared" si="11"/>
        <v>-6.9585187233870922</v>
      </c>
      <c r="G98" s="4">
        <f t="shared" si="11"/>
        <v>-5.3933080052763023</v>
      </c>
      <c r="H98" s="4">
        <f t="shared" si="11"/>
        <v>-5.995936574525393</v>
      </c>
      <c r="I98" s="4">
        <f t="shared" si="11"/>
        <v>-5.791722240491513</v>
      </c>
      <c r="J98" s="4">
        <f t="shared" si="11"/>
        <v>0</v>
      </c>
      <c r="K98" s="4">
        <f t="shared" si="11"/>
        <v>0</v>
      </c>
      <c r="L98" s="4">
        <f t="shared" si="11"/>
        <v>-8.0036098778223259</v>
      </c>
      <c r="M98" s="4">
        <f t="shared" si="11"/>
        <v>-4.6331435398981187</v>
      </c>
      <c r="N98" s="4">
        <f t="shared" si="11"/>
        <v>-8.0748991323976771</v>
      </c>
      <c r="O98" s="4">
        <f t="shared" si="11"/>
        <v>-7.6241684688139859</v>
      </c>
      <c r="P98" s="18"/>
      <c r="Q98" s="4">
        <f>IFERROR(Q97/Q10, 0)</f>
        <v>-8.9941982748025069</v>
      </c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.75" thickBot="1" x14ac:dyDescent="0.3">
      <c r="A101" s="6"/>
      <c r="B101" s="17" t="s">
        <v>292</v>
      </c>
      <c r="C101" s="17"/>
      <c r="D101" s="7">
        <f t="shared" ref="D101:O101" si="12">IFERROR(SUM(D97:D100), 0)</f>
        <v>-56656.840000000004</v>
      </c>
      <c r="E101" s="7">
        <f t="shared" si="12"/>
        <v>-68120.032393715534</v>
      </c>
      <c r="F101" s="7">
        <f t="shared" si="12"/>
        <v>-60390.548518723386</v>
      </c>
      <c r="G101" s="7">
        <f t="shared" si="12"/>
        <v>-71680.353308005288</v>
      </c>
      <c r="H101" s="7">
        <f t="shared" si="12"/>
        <v>-51917.135936574516</v>
      </c>
      <c r="I101" s="7">
        <f t="shared" si="12"/>
        <v>-56717.061722240484</v>
      </c>
      <c r="J101" s="7">
        <f t="shared" si="12"/>
        <v>-59156.390000000014</v>
      </c>
      <c r="K101" s="7">
        <f t="shared" si="12"/>
        <v>-54896.11</v>
      </c>
      <c r="L101" s="7">
        <f t="shared" si="12"/>
        <v>-43885.233609877825</v>
      </c>
      <c r="M101" s="7">
        <f t="shared" si="12"/>
        <v>-59178.123143539888</v>
      </c>
      <c r="N101" s="7">
        <f t="shared" si="12"/>
        <v>-42805.04030084009</v>
      </c>
      <c r="O101" s="7">
        <f t="shared" si="12"/>
        <v>-41940.550746945737</v>
      </c>
      <c r="Q101" s="7">
        <f>IFERROR(SUM(Q97:Q100), 0)</f>
        <v>-667285.50617845939</v>
      </c>
    </row>
    <row r="102" spans="1:17" ht="15.75" thickTop="1" x14ac:dyDescent="0.25">
      <c r="A102" s="5"/>
      <c r="C102" s="5"/>
      <c r="D102" s="4">
        <f t="shared" ref="D102:O102" si="13">IFERROR(D101/D10, 0)</f>
        <v>0</v>
      </c>
      <c r="E102" s="4">
        <f t="shared" si="13"/>
        <v>-14.435452112914243</v>
      </c>
      <c r="F102" s="4">
        <f t="shared" si="13"/>
        <v>-6.9593206131525687</v>
      </c>
      <c r="G102" s="4">
        <f t="shared" si="13"/>
        <v>-5.3937138341911677</v>
      </c>
      <c r="H102" s="4">
        <f t="shared" si="13"/>
        <v>-5.9966291282894932</v>
      </c>
      <c r="I102" s="4">
        <f t="shared" si="13"/>
        <v>-5.7923137286826787</v>
      </c>
      <c r="J102" s="4">
        <f t="shared" si="13"/>
        <v>0</v>
      </c>
      <c r="K102" s="4">
        <f t="shared" si="13"/>
        <v>0</v>
      </c>
      <c r="L102" s="4">
        <f t="shared" si="13"/>
        <v>-8.0050698097978952</v>
      </c>
      <c r="M102" s="4">
        <f t="shared" si="13"/>
        <v>-4.6335063040186952</v>
      </c>
      <c r="N102" s="4">
        <f t="shared" si="13"/>
        <v>-8.0764226982717151</v>
      </c>
      <c r="O102" s="4">
        <f t="shared" si="13"/>
        <v>-7.6255546812628614</v>
      </c>
      <c r="P102" s="18"/>
      <c r="Q102" s="4">
        <f>IFERROR(Q101/Q10, 0)</f>
        <v>-8.9943195073068054</v>
      </c>
    </row>
    <row r="103" spans="1:17" x14ac:dyDescent="0.25">
      <c r="A103" s="5"/>
      <c r="B103" s="27">
        <v>44330.012769791669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25">
      <c r="A104" s="5"/>
      <c r="B104" s="31" t="s">
        <v>54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25">
      <c r="A105" s="5"/>
      <c r="B105" s="26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-301.68</v>
      </c>
      <c r="M14" s="3">
        <f>SUM(OSRRefD14x_9)</f>
        <v>0</v>
      </c>
      <c r="N14" s="3">
        <f>SUM(OSRRefE14x_0)</f>
        <v>0</v>
      </c>
      <c r="O14" s="3">
        <f>SUM(OSRRefE14x_1)</f>
        <v>0</v>
      </c>
      <c r="Q14" s="3">
        <f>SUM(OSRRefG14x)</f>
        <v>-301.68</v>
      </c>
    </row>
    <row r="15" spans="1:18" s="9" customFormat="1" hidden="1" outlineLevel="1" x14ac:dyDescent="0.25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0</v>
      </c>
      <c r="O15" s="2">
        <v>0</v>
      </c>
      <c r="Q15" s="2">
        <f>SUM(OSRRefD14_0x)+IFERROR(SUM(OSRRefE14_0x),0)</f>
        <v>0</v>
      </c>
    </row>
    <row r="16" spans="1:18" s="9" customFormat="1" hidden="1" outlineLevel="1" x14ac:dyDescent="0.25">
      <c r="A16" s="23"/>
      <c r="B16" s="10" t="str">
        <f>CONCATENATE("          ","5053", " - ","PURCHASES @ COST-FOOD")</f>
        <v xml:space="preserve">          5053 - PURCHASES @ COST-FOOD</v>
      </c>
      <c r="C16" s="22"/>
      <c r="D16" s="2"/>
      <c r="E16" s="2"/>
      <c r="F16" s="2"/>
      <c r="G16" s="2"/>
      <c r="H16" s="2"/>
      <c r="I16" s="2"/>
      <c r="J16" s="2"/>
      <c r="K16" s="2"/>
      <c r="L16" s="2">
        <v>-301.68</v>
      </c>
      <c r="M16" s="2"/>
      <c r="N16" s="2"/>
      <c r="O16" s="2"/>
      <c r="Q16" s="2">
        <f>SUM(OSRRefD14_1x)+IFERROR(SUM(OSRRefE14_1x),0)</f>
        <v>-301.68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0</v>
      </c>
      <c r="I18" s="8">
        <f t="shared" si="1"/>
        <v>0</v>
      </c>
      <c r="J18" s="8">
        <f t="shared" si="1"/>
        <v>0</v>
      </c>
      <c r="K18" s="8">
        <f t="shared" si="1"/>
        <v>0</v>
      </c>
      <c r="L18" s="8">
        <f t="shared" si="1"/>
        <v>301.68</v>
      </c>
      <c r="M18" s="8">
        <f t="shared" si="1"/>
        <v>0</v>
      </c>
      <c r="N18" s="8">
        <f t="shared" si="1"/>
        <v>0</v>
      </c>
      <c r="O18" s="8">
        <f t="shared" si="1"/>
        <v>0</v>
      </c>
      <c r="Q18" s="8">
        <f>IFERROR(+Q10-Q14, 0)</f>
        <v>301.68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4">
        <f>SUM(OSRRefD20x_0)</f>
        <v>17067.47</v>
      </c>
      <c r="E21" s="14">
        <f>SUM(OSRRefD20x_1)</f>
        <v>7362.1500000000005</v>
      </c>
      <c r="F21" s="14">
        <f>SUM(OSRRefD20x_2)</f>
        <v>7376.42</v>
      </c>
      <c r="G21" s="14">
        <f>SUM(OSRRefD20x_3)</f>
        <v>6784.05</v>
      </c>
      <c r="H21" s="14">
        <f>SUM(OSRRefD20x_4)</f>
        <v>6747.53</v>
      </c>
      <c r="I21" s="14">
        <f>SUM(OSRRefD20x_5)</f>
        <v>6944.03</v>
      </c>
      <c r="J21" s="14">
        <f>SUM(OSRRefD20x_6)</f>
        <v>6745.17</v>
      </c>
      <c r="K21" s="14">
        <f>SUM(OSRRefD20x_7)</f>
        <v>8430.17</v>
      </c>
      <c r="L21" s="14">
        <f>SUM(OSRRefD20x_8)</f>
        <v>6944.03</v>
      </c>
      <c r="M21" s="14">
        <f>SUM(OSRRefD20x_9)</f>
        <v>6745.17</v>
      </c>
      <c r="N21" s="14">
        <f>SUM(OSRRefE20x_0)</f>
        <v>6745</v>
      </c>
      <c r="O21" s="14">
        <f>SUM(OSRRefE20x_1)</f>
        <v>6745</v>
      </c>
      <c r="Q21" s="14">
        <f>SUM(OSRRefG20x)</f>
        <v>94636.189999999988</v>
      </c>
    </row>
    <row r="22" spans="1:17" s="34" customFormat="1" collapsed="1" x14ac:dyDescent="0.25">
      <c r="A22" s="35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6083.9599999999991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2.36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SUM(OSRRefE21_0x_0)</f>
        <v>0</v>
      </c>
      <c r="O22" s="1">
        <f>SUM(OSRRefE21_0x_1)</f>
        <v>0</v>
      </c>
      <c r="Q22" s="2">
        <f>SUM(OSRRefD20_0x)+IFERROR(SUM(OSRRefE20_0x),0)</f>
        <v>6086.3199999999988</v>
      </c>
    </row>
    <row r="23" spans="1:17" s="34" customFormat="1" hidden="1" outlineLevel="1" x14ac:dyDescent="0.25">
      <c r="A23" s="35"/>
      <c r="B23" s="10" t="str">
        <f>CONCATENATE("          ","6111", " - ","F.I.C.A.")</f>
        <v xml:space="preserve">          6111 - F.I.C.A.</v>
      </c>
      <c r="C23" s="11"/>
      <c r="D23" s="2">
        <v>235.15</v>
      </c>
      <c r="E23" s="2"/>
      <c r="F23" s="2"/>
      <c r="G23" s="2"/>
      <c r="H23" s="2">
        <v>2.36</v>
      </c>
      <c r="I23" s="2"/>
      <c r="J23" s="2"/>
      <c r="K23" s="2"/>
      <c r="L23" s="2"/>
      <c r="M23" s="2"/>
      <c r="N23" s="2">
        <v>0</v>
      </c>
      <c r="O23" s="2">
        <v>0</v>
      </c>
      <c r="P23" s="9"/>
      <c r="Q23" s="2">
        <f>SUM(OSRRefD21_0_0x)+IFERROR(SUM(OSRRefE21_0_0x),0)</f>
        <v>237.51000000000002</v>
      </c>
    </row>
    <row r="24" spans="1:17" s="34" customFormat="1" hidden="1" outlineLevel="1" x14ac:dyDescent="0.25">
      <c r="A24" s="35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4" customFormat="1" hidden="1" outlineLevel="1" x14ac:dyDescent="0.25">
      <c r="A25" s="35"/>
      <c r="B25" s="10" t="str">
        <f>CONCATENATE("          ","6113", " - ","GROUP INSURANCE")</f>
        <v xml:space="preserve">          6113 - GROUP INSURANCE</v>
      </c>
      <c r="C25" s="11"/>
      <c r="D25" s="2">
        <v>4780.67</v>
      </c>
      <c r="E25" s="2"/>
      <c r="F25" s="2"/>
      <c r="G25" s="2"/>
      <c r="H25" s="2"/>
      <c r="I25" s="2"/>
      <c r="J25" s="2"/>
      <c r="K25" s="2"/>
      <c r="L25" s="2"/>
      <c r="M25" s="2"/>
      <c r="N25" s="2">
        <v>0</v>
      </c>
      <c r="O25" s="2">
        <v>0</v>
      </c>
      <c r="P25" s="9"/>
      <c r="Q25" s="2">
        <f>SUM(OSRRefD21_0_2x)+IFERROR(SUM(OSRRefE21_0_2x),0)</f>
        <v>4780.67</v>
      </c>
    </row>
    <row r="26" spans="1:17" s="34" customFormat="1" hidden="1" outlineLevel="1" x14ac:dyDescent="0.25">
      <c r="A26" s="35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4" customFormat="1" hidden="1" outlineLevel="1" x14ac:dyDescent="0.25">
      <c r="A27" s="35"/>
      <c r="B27" s="10" t="str">
        <f>CONCATENATE("          ","6115", " - ","P.E.R.S.")</f>
        <v xml:space="preserve">          6115 - P.E.R.S.</v>
      </c>
      <c r="C27" s="11"/>
      <c r="D27" s="2">
        <v>678.15</v>
      </c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SUM(OSRRefD21_0_4x)+IFERROR(SUM(OSRRefE21_0_4x),0)</f>
        <v>678.15</v>
      </c>
    </row>
    <row r="28" spans="1:17" s="34" customFormat="1" hidden="1" outlineLevel="1" x14ac:dyDescent="0.25">
      <c r="A28" s="35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25">
      <c r="A29" s="35"/>
      <c r="B29" s="10" t="str">
        <f>CONCATENATE("          ","6118", " - ","VACATION")</f>
        <v xml:space="preserve">          6118 - VACATION</v>
      </c>
      <c r="C29" s="11"/>
      <c r="D29" s="2">
        <v>248.21</v>
      </c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SUM(OSRRefD21_0_6x)+IFERROR(SUM(OSRRefE21_0_6x),0)</f>
        <v>248.21</v>
      </c>
    </row>
    <row r="30" spans="1:17" s="34" customFormat="1" hidden="1" outlineLevel="1" x14ac:dyDescent="0.25">
      <c r="A30" s="35"/>
      <c r="B30" s="10" t="str">
        <f>CONCATENATE("          ","6119", " - ","SICK LEAVE")</f>
        <v xml:space="preserve">          6119 - SICK LEAVE</v>
      </c>
      <c r="C30" s="11"/>
      <c r="D30" s="2">
        <v>141.78</v>
      </c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SUM(OSRRefD21_0_7x)+IFERROR(SUM(OSRRefE21_0_7x),0)</f>
        <v>141.78</v>
      </c>
    </row>
    <row r="31" spans="1:17" s="34" customFormat="1" collapsed="1" x14ac:dyDescent="0.25">
      <c r="A31" s="35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2151.69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SUM(OSRRefE21_1x_0)</f>
        <v>0</v>
      </c>
      <c r="O31" s="1">
        <f>SUM(OSRRefE21_1x_1)</f>
        <v>0</v>
      </c>
      <c r="Q31" s="2">
        <f>SUM(OSRRefD20_1x)+IFERROR(SUM(OSRRefE20_1x),0)</f>
        <v>2151.69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1"/>
      <c r="D33" s="2">
        <v>2151.69</v>
      </c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SUM(OSRRefD21_1_1x)+IFERROR(SUM(OSRRefE21_1_1x),0)</f>
        <v>2151.69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SUM(OSRRefE21_2x_0)</f>
        <v>0</v>
      </c>
      <c r="O42" s="1">
        <f>SUM(OSRRefE21_2x_1)</f>
        <v>0</v>
      </c>
      <c r="Q42" s="2">
        <f>SUM(OSRRefD20_2x)+IFERROR(SUM(OSRRefE20_2x),0)</f>
        <v>0</v>
      </c>
    </row>
    <row r="43" spans="1:17" s="34" customFormat="1" hidden="1" outlineLevel="1" x14ac:dyDescent="0.25">
      <c r="A43" s="35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SUM(OSRRefE21_3x_0)</f>
        <v>0</v>
      </c>
      <c r="O44" s="1">
        <f>SUM(OSRRefE21_3x_1)</f>
        <v>0</v>
      </c>
      <c r="Q44" s="2">
        <f>SUM(OSRRefD20_3x)+IFERROR(SUM(OSRRefE20_3x),0)</f>
        <v>0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4" customFormat="1" collapsed="1" x14ac:dyDescent="0.25">
      <c r="A46" s="35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7177.55</v>
      </c>
      <c r="E46" s="1">
        <f>SUM(OSRRefD21_4x_1)</f>
        <v>7177.55</v>
      </c>
      <c r="F46" s="1">
        <f>SUM(OSRRefD21_4x_2)</f>
        <v>7177.55</v>
      </c>
      <c r="G46" s="1">
        <f>SUM(OSRRefD21_4x_3)</f>
        <v>6745.18</v>
      </c>
      <c r="H46" s="1">
        <f>SUM(OSRRefD21_4x_4)</f>
        <v>6745.17</v>
      </c>
      <c r="I46" s="1">
        <f>SUM(OSRRefD21_4x_5)</f>
        <v>6745.17</v>
      </c>
      <c r="J46" s="1">
        <f>SUM(OSRRefD21_4x_6)</f>
        <v>6745.17</v>
      </c>
      <c r="K46" s="1">
        <f>SUM(OSRRefD21_4x_7)</f>
        <v>6745.17</v>
      </c>
      <c r="L46" s="1">
        <f>SUM(OSRRefD21_4x_8)</f>
        <v>6745.17</v>
      </c>
      <c r="M46" s="1">
        <f>SUM(OSRRefD21_4x_9)</f>
        <v>6745.17</v>
      </c>
      <c r="N46" s="1">
        <f>SUM(OSRRefE21_4x_0)</f>
        <v>6745</v>
      </c>
      <c r="O46" s="1">
        <f>SUM(OSRRefE21_4x_1)</f>
        <v>6745</v>
      </c>
      <c r="Q46" s="2">
        <f>SUM(OSRRefD20_4x)+IFERROR(SUM(OSRRefE20_4x),0)</f>
        <v>82238.849999999991</v>
      </c>
    </row>
    <row r="47" spans="1:17" s="34" customFormat="1" hidden="1" outlineLevel="1" x14ac:dyDescent="0.25">
      <c r="A47" s="35"/>
      <c r="B47" s="10" t="str">
        <f>CONCATENATE("          ","6321", " - ","BUILDING DEPRECIATION")</f>
        <v xml:space="preserve">          6321 - BUILDING DEPRECIATION</v>
      </c>
      <c r="C47" s="11"/>
      <c r="D47" s="2">
        <v>6537.05</v>
      </c>
      <c r="E47" s="2">
        <v>6537.05</v>
      </c>
      <c r="F47" s="2">
        <v>6537.05</v>
      </c>
      <c r="G47" s="2">
        <v>6537.05</v>
      </c>
      <c r="H47" s="2">
        <v>6537.05</v>
      </c>
      <c r="I47" s="2">
        <v>6537.05</v>
      </c>
      <c r="J47" s="2">
        <v>6537.05</v>
      </c>
      <c r="K47" s="2">
        <v>6537.05</v>
      </c>
      <c r="L47" s="2">
        <v>6537.05</v>
      </c>
      <c r="M47" s="2">
        <v>6537.05</v>
      </c>
      <c r="N47" s="2"/>
      <c r="O47" s="2"/>
      <c r="P47" s="9"/>
      <c r="Q47" s="2">
        <f>SUM(OSRRefD21_4_0x)+IFERROR(SUM(OSRRefE21_4_0x),0)</f>
        <v>65370.500000000015</v>
      </c>
    </row>
    <row r="48" spans="1:17" s="34" customFormat="1" hidden="1" outlineLevel="1" x14ac:dyDescent="0.25">
      <c r="A48" s="35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640.5</v>
      </c>
      <c r="E48" s="2">
        <v>640.5</v>
      </c>
      <c r="F48" s="2">
        <v>640.5</v>
      </c>
      <c r="G48" s="2">
        <v>208.13</v>
      </c>
      <c r="H48" s="2">
        <v>208.12</v>
      </c>
      <c r="I48" s="2">
        <v>208.12</v>
      </c>
      <c r="J48" s="2">
        <v>208.12</v>
      </c>
      <c r="K48" s="2">
        <v>208.12</v>
      </c>
      <c r="L48" s="2">
        <v>208.12</v>
      </c>
      <c r="M48" s="2">
        <v>208.12</v>
      </c>
      <c r="N48" s="2">
        <v>6745</v>
      </c>
      <c r="O48" s="2">
        <v>6745</v>
      </c>
      <c r="P48" s="9"/>
      <c r="Q48" s="2">
        <f>SUM(OSRRefD21_4_1x)+IFERROR(SUM(OSRRefE21_4_1x),0)</f>
        <v>16868.349999999999</v>
      </c>
    </row>
    <row r="49" spans="1:17" s="34" customFormat="1" collapsed="1" x14ac:dyDescent="0.25">
      <c r="A49" s="35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SUM(OSRRefD21_5x_9)</f>
        <v>0</v>
      </c>
      <c r="N49" s="1">
        <f>SUM(OSRRefE21_5x_0)</f>
        <v>0</v>
      </c>
      <c r="O49" s="1">
        <f>SUM(OSRRefE21_5x_1)</f>
        <v>0</v>
      </c>
      <c r="Q49" s="2">
        <f>SUM(OSRRefD20_5x)+IFERROR(SUM(OSRRefE20_5x),0)</f>
        <v>0</v>
      </c>
    </row>
    <row r="50" spans="1:17" s="34" customFormat="1" hidden="1" outlineLevel="1" x14ac:dyDescent="0.25">
      <c r="A50" s="35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SUM(OSRRefD21_5_0x)+IFERROR(SUM(OSRRefE21_5_0x),0)</f>
        <v>0</v>
      </c>
    </row>
    <row r="51" spans="1:17" s="34" customFormat="1" collapsed="1" x14ac:dyDescent="0.25">
      <c r="A51" s="35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SUM(OSRRefD21_6x_0)</f>
        <v>263.72000000000003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SUM(OSRRefE21_6x_0)</f>
        <v>0</v>
      </c>
      <c r="O51" s="1">
        <f>SUM(OSRRefE21_6x_1)</f>
        <v>0</v>
      </c>
      <c r="Q51" s="2">
        <f>SUM(OSRRefD20_6x)+IFERROR(SUM(OSRRefE20_6x),0)</f>
        <v>263.72000000000003</v>
      </c>
    </row>
    <row r="52" spans="1:17" s="34" customFormat="1" hidden="1" outlineLevel="1" x14ac:dyDescent="0.25">
      <c r="A52" s="35"/>
      <c r="B52" s="10" t="str">
        <f>CONCATENATE("          ","6351", " - ","EQUIPMENT RENTAL")</f>
        <v xml:space="preserve">          6351 - EQUIPMENT RENTAL</v>
      </c>
      <c r="C52" s="11"/>
      <c r="D52" s="2">
        <v>263.72000000000003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SUM(OSRRefD21_6_0x)+IFERROR(SUM(OSRRefE21_6_0x),0)</f>
        <v>263.72000000000003</v>
      </c>
    </row>
    <row r="53" spans="1:17" s="34" customFormat="1" collapsed="1" x14ac:dyDescent="0.25">
      <c r="A53" s="35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SUM(OSRRefD21_7x_0)</f>
        <v>1284.55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1685</v>
      </c>
      <c r="L53" s="1">
        <f>SUM(OSRRefD21_7x_8)</f>
        <v>0</v>
      </c>
      <c r="M53" s="1">
        <f>SUM(OSRRefD21_7x_9)</f>
        <v>0</v>
      </c>
      <c r="N53" s="1">
        <f>SUM(OSRRefE21_7x_0)</f>
        <v>0</v>
      </c>
      <c r="O53" s="1">
        <f>SUM(OSRRefE21_7x_1)</f>
        <v>0</v>
      </c>
      <c r="Q53" s="2">
        <f>SUM(OSRRefD20_7x)+IFERROR(SUM(OSRRefE20_7x),0)</f>
        <v>2969.55</v>
      </c>
    </row>
    <row r="54" spans="1:17" s="34" customFormat="1" hidden="1" outlineLevel="1" x14ac:dyDescent="0.25">
      <c r="A54" s="35"/>
      <c r="B54" s="10" t="str">
        <f>CONCATENATE("          ","6279", " - ","GENERAL EXPENSE")</f>
        <v xml:space="preserve">          6279 - GENERAL EXPENSE</v>
      </c>
      <c r="C54" s="11"/>
      <c r="D54" s="2">
        <v>1284.55</v>
      </c>
      <c r="E54" s="2"/>
      <c r="F54" s="2"/>
      <c r="G54" s="2"/>
      <c r="H54" s="2"/>
      <c r="I54" s="2"/>
      <c r="J54" s="2"/>
      <c r="K54" s="2">
        <v>1685</v>
      </c>
      <c r="L54" s="2"/>
      <c r="M54" s="2"/>
      <c r="N54" s="2"/>
      <c r="O54" s="2"/>
      <c r="P54" s="9"/>
      <c r="Q54" s="2">
        <f>SUM(OSRRefD21_7_0x)+IFERROR(SUM(OSRRefE21_7_0x),0)</f>
        <v>2969.55</v>
      </c>
    </row>
    <row r="55" spans="1:17" s="34" customFormat="1" collapsed="1" x14ac:dyDescent="0.25">
      <c r="A55" s="35"/>
      <c r="B55" s="11" t="str">
        <f>CONCATENATE("     ","Repair and Maintenance                            ")</f>
        <v xml:space="preserve">     Repair and Maintenance                            </v>
      </c>
      <c r="C55" s="11"/>
      <c r="D55" s="1">
        <f>SUM(OSRRefD21_8x_0)</f>
        <v>0</v>
      </c>
      <c r="E55" s="1">
        <f>SUM(OSRRefD21_8x_1)</f>
        <v>78.599999999999994</v>
      </c>
      <c r="F55" s="1">
        <f>SUM(OSRRefD21_8x_2)</f>
        <v>198.87</v>
      </c>
      <c r="G55" s="1">
        <f>SUM(OSRRefD21_8x_3)</f>
        <v>0</v>
      </c>
      <c r="H55" s="1">
        <f>SUM(OSRRefD21_8x_4)</f>
        <v>0</v>
      </c>
      <c r="I55" s="1">
        <f>SUM(OSRRefD21_8x_5)</f>
        <v>198.86</v>
      </c>
      <c r="J55" s="1">
        <f>SUM(OSRRefD21_8x_6)</f>
        <v>0</v>
      </c>
      <c r="K55" s="1">
        <f>SUM(OSRRefD21_8x_7)</f>
        <v>0</v>
      </c>
      <c r="L55" s="1">
        <f>SUM(OSRRefD21_8x_8)</f>
        <v>198.86</v>
      </c>
      <c r="M55" s="1">
        <f>SUM(OSRRefD21_8x_9)</f>
        <v>0</v>
      </c>
      <c r="N55" s="1">
        <f>SUM(OSRRefE21_8x_0)</f>
        <v>0</v>
      </c>
      <c r="O55" s="1">
        <f>SUM(OSRRefE21_8x_1)</f>
        <v>0</v>
      </c>
      <c r="Q55" s="2">
        <f>SUM(OSRRefD20_8x)+IFERROR(SUM(OSRRefE20_8x),0)</f>
        <v>675.19</v>
      </c>
    </row>
    <row r="56" spans="1:17" s="34" customFormat="1" hidden="1" outlineLevel="1" x14ac:dyDescent="0.25">
      <c r="A56" s="35"/>
      <c r="B56" s="10" t="str">
        <f>CONCATENATE("          ","6373", " - ","MAINTENANCE CONTRACTS")</f>
        <v xml:space="preserve">          6373 - MAINTENANCE CONTRACTS</v>
      </c>
      <c r="C56" s="11"/>
      <c r="D56" s="2"/>
      <c r="E56" s="2">
        <v>78.599999999999994</v>
      </c>
      <c r="F56" s="2">
        <v>198.87</v>
      </c>
      <c r="G56" s="2"/>
      <c r="H56" s="2"/>
      <c r="I56" s="2">
        <v>198.86</v>
      </c>
      <c r="J56" s="2"/>
      <c r="K56" s="2"/>
      <c r="L56" s="2">
        <v>198.86</v>
      </c>
      <c r="M56" s="2"/>
      <c r="N56" s="2"/>
      <c r="O56" s="2"/>
      <c r="P56" s="9"/>
      <c r="Q56" s="2">
        <f>SUM(OSRRefD21_8_0x)+IFERROR(SUM(OSRRefE21_8_0x),0)</f>
        <v>675.19</v>
      </c>
    </row>
    <row r="57" spans="1:17" s="34" customFormat="1" hidden="1" outlineLevel="1" x14ac:dyDescent="0.25">
      <c r="A57" s="35"/>
      <c r="B57" s="10" t="str">
        <f>CONCATENATE("          ","6375", " - ","OUTSIDE REPAIRS &amp; MAINTENANCE")</f>
        <v xml:space="preserve">          6375 - OUTSIDE REPAIRS &amp; MAINTENANCE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0</v>
      </c>
      <c r="O57" s="2">
        <v>0</v>
      </c>
      <c r="P57" s="9"/>
      <c r="Q57" s="2">
        <f>SUM(OSRRefD21_8_1x)+IFERROR(SUM(OSRRefE21_8_1x),0)</f>
        <v>0</v>
      </c>
    </row>
    <row r="58" spans="1:17" s="34" customFormat="1" collapsed="1" x14ac:dyDescent="0.25">
      <c r="A58" s="35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SUM(OSRRefD21_9x_7)</f>
        <v>0</v>
      </c>
      <c r="L58" s="1">
        <f>SUM(OSRRefD21_9x_8)</f>
        <v>0</v>
      </c>
      <c r="M58" s="1">
        <f>SUM(OSRRefD21_9x_9)</f>
        <v>0</v>
      </c>
      <c r="N58" s="1">
        <f>SUM(OSRRefE21_9x_0)</f>
        <v>0</v>
      </c>
      <c r="O58" s="1">
        <f>SUM(OSRRefE21_9x_1)</f>
        <v>0</v>
      </c>
      <c r="Q58" s="2">
        <f>SUM(OSRRefD20_9x)+IFERROR(SUM(OSRRefE20_9x),0)</f>
        <v>0</v>
      </c>
    </row>
    <row r="59" spans="1:17" s="34" customFormat="1" hidden="1" outlineLevel="1" x14ac:dyDescent="0.25">
      <c r="A59" s="35"/>
      <c r="B59" s="10" t="str">
        <f>CONCATENATE("          ","6283", " - ","PLANT SERVICE")</f>
        <v xml:space="preserve">          6283 - PLANT SERVICE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4" customFormat="1" hidden="1" outlineLevel="1" x14ac:dyDescent="0.25">
      <c r="A60" s="35"/>
      <c r="B60" s="10" t="str">
        <f>CONCATENATE("          ","6286", " - ","LAUNDRY EXPENSE")</f>
        <v xml:space="preserve">          6286 - LAUNDRY EXPENSE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0</v>
      </c>
      <c r="O60" s="2">
        <v>0</v>
      </c>
      <c r="P60" s="9"/>
      <c r="Q60" s="2">
        <f>SUM(OSRRefD21_9_1x)+IFERROR(SUM(OSRRefE21_9_1x),0)</f>
        <v>0</v>
      </c>
    </row>
    <row r="61" spans="1:17" s="34" customFormat="1" collapsed="1" x14ac:dyDescent="0.25">
      <c r="A61" s="35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SUM(OSRRefD21_10x_9)</f>
        <v>0</v>
      </c>
      <c r="N61" s="1">
        <f>SUM(OSRRefE21_10x_0)</f>
        <v>0</v>
      </c>
      <c r="O61" s="1">
        <f>SUM(OSRRefE21_10x_1)</f>
        <v>0</v>
      </c>
      <c r="Q61" s="2">
        <f>SUM(OSRRefD20_10x)+IFERROR(SUM(OSRRefE20_10x),0)</f>
        <v>0</v>
      </c>
    </row>
    <row r="62" spans="1:17" s="34" customFormat="1" hidden="1" outlineLevel="1" x14ac:dyDescent="0.25">
      <c r="A62" s="35"/>
      <c r="B62" s="10" t="str">
        <f>CONCATENATE("          ","6275", " - ","SUBSCRIPTIONS")</f>
        <v xml:space="preserve">          6275 - SUBSCRIPTIONS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4" customFormat="1" collapsed="1" x14ac:dyDescent="0.25">
      <c r="A63" s="35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SUM(OSRRefE21_11x_0)</f>
        <v>0</v>
      </c>
      <c r="O63" s="1">
        <f>SUM(OSRRefE21_11x_1)</f>
        <v>0</v>
      </c>
      <c r="Q63" s="2">
        <f>SUM(OSRRefD20_11x)+IFERROR(SUM(OSRRefE20_11x),0)</f>
        <v>0</v>
      </c>
    </row>
    <row r="64" spans="1:17" s="34" customFormat="1" hidden="1" outlineLevel="1" x14ac:dyDescent="0.25">
      <c r="A64" s="35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25">
      <c r="A65" s="35"/>
      <c r="B65" s="10" t="str">
        <f>CONCATENATE("          ","6237", " - ","JANITORIAL SUPPLIES")</f>
        <v xml:space="preserve">          6237 - JANITORIAL SUPPLIES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4" customFormat="1" hidden="1" outlineLevel="1" x14ac:dyDescent="0.25">
      <c r="A66" s="35"/>
      <c r="B66" s="10" t="str">
        <f>CONCATENATE("          ","6241", " - ","OFFICE EXPENSE")</f>
        <v xml:space="preserve">          6241 - OFFICE EXPENSE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>
        <v>0</v>
      </c>
      <c r="P66" s="9"/>
      <c r="Q66" s="2">
        <f>SUM(OSRRefD21_11_2x)+IFERROR(SUM(OSRRefE21_11_2x),0)</f>
        <v>0</v>
      </c>
    </row>
    <row r="67" spans="1:17" s="34" customFormat="1" hidden="1" outlineLevel="1" x14ac:dyDescent="0.25">
      <c r="A67" s="35"/>
      <c r="B67" s="10" t="str">
        <f>CONCATENATE("          ","6243", " - ","PAPER SUPPLIES")</f>
        <v xml:space="preserve">          6243 - PAPER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4" customFormat="1" hidden="1" outlineLevel="1" x14ac:dyDescent="0.25">
      <c r="A68" s="35"/>
      <c r="B68" s="10" t="str">
        <f>CONCATENATE("          ","6244", " - ","SAFETY SUPPLY EXPENSE")</f>
        <v xml:space="preserve">          6244 - SAFETY SUPPLY EXPENSE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SUM(OSRRefD21_11_4x)+IFERROR(SUM(OSRRefE21_11_4x),0)</f>
        <v>0</v>
      </c>
    </row>
    <row r="69" spans="1:17" s="34" customFormat="1" hidden="1" outlineLevel="1" x14ac:dyDescent="0.25">
      <c r="A69" s="35"/>
      <c r="B69" s="10" t="str">
        <f>CONCATENATE("          ","6245", " - ","PRINTING")</f>
        <v xml:space="preserve">          6245 - PRINTING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0</v>
      </c>
      <c r="O69" s="2">
        <v>0</v>
      </c>
      <c r="P69" s="9"/>
      <c r="Q69" s="2">
        <f>SUM(OSRRefD21_11_5x)+IFERROR(SUM(OSRRefE21_11_5x),0)</f>
        <v>0</v>
      </c>
    </row>
    <row r="70" spans="1:17" s="34" customFormat="1" collapsed="1" x14ac:dyDescent="0.25">
      <c r="A70" s="35"/>
      <c r="B70" s="11" t="str">
        <f>CONCATENATE("     ","Telephone/Data Lines                              ")</f>
        <v xml:space="preserve">     Telephone/Data Lines                              </v>
      </c>
      <c r="C70" s="11"/>
      <c r="D70" s="1">
        <f>SUM(OSRRefD21_12x_0)</f>
        <v>106</v>
      </c>
      <c r="E70" s="1">
        <f>SUM(OSRRefD21_12x_1)</f>
        <v>106</v>
      </c>
      <c r="F70" s="1">
        <f>SUM(OSRRefD21_12x_2)</f>
        <v>0</v>
      </c>
      <c r="G70" s="1">
        <f>SUM(OSRRefD21_12x_3)</f>
        <v>38.869999999999997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SUM(OSRRefD21_12x_8)</f>
        <v>0</v>
      </c>
      <c r="M70" s="1">
        <f>SUM(OSRRefD21_12x_9)</f>
        <v>0</v>
      </c>
      <c r="N70" s="1">
        <f>SUM(OSRRefE21_12x_0)</f>
        <v>0</v>
      </c>
      <c r="O70" s="1">
        <f>SUM(OSRRefE21_12x_1)</f>
        <v>0</v>
      </c>
      <c r="Q70" s="2">
        <f>SUM(OSRRefD20_12x)+IFERROR(SUM(OSRRefE20_12x),0)</f>
        <v>250.87</v>
      </c>
    </row>
    <row r="71" spans="1:17" s="34" customFormat="1" hidden="1" outlineLevel="1" x14ac:dyDescent="0.25">
      <c r="A71" s="35"/>
      <c r="B71" s="10" t="str">
        <f>CONCATENATE("          ","6303", " - ","DATA PHONE LINES")</f>
        <v xml:space="preserve">          6303 - DATA PHONE LINES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>
        <v>0</v>
      </c>
      <c r="P71" s="9"/>
      <c r="Q71" s="2">
        <f>SUM(OSRRefD21_12_0x)+IFERROR(SUM(OSRRefE21_12_0x),0)</f>
        <v>0</v>
      </c>
    </row>
    <row r="72" spans="1:17" s="34" customFormat="1" hidden="1" outlineLevel="1" x14ac:dyDescent="0.25">
      <c r="A72" s="35"/>
      <c r="B72" s="10" t="str">
        <f>CONCATENATE("          ","6309", " - ","TELEPHONE")</f>
        <v xml:space="preserve">          6309 - TELEPHONE</v>
      </c>
      <c r="C72" s="11"/>
      <c r="D72" s="2">
        <v>106</v>
      </c>
      <c r="E72" s="2">
        <v>106</v>
      </c>
      <c r="F72" s="2"/>
      <c r="G72" s="2">
        <v>38.869999999999997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SUM(OSRRefD21_12_1x)+IFERROR(SUM(OSRRefE21_12_1x),0)</f>
        <v>250.87</v>
      </c>
    </row>
    <row r="73" spans="1:17" s="34" customFormat="1" collapsed="1" x14ac:dyDescent="0.25">
      <c r="A73" s="35"/>
      <c r="B73" s="11" t="str">
        <f>CONCATENATE("     ","Training                                          ")</f>
        <v xml:space="preserve">     Training            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0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SUM(OSRRefE21_13x_0)</f>
        <v>0</v>
      </c>
      <c r="O73" s="1">
        <f>SUM(OSRRefE21_13x_1)</f>
        <v>0</v>
      </c>
      <c r="Q73" s="2">
        <f>SUM(OSRRefD20_13x)+IFERROR(SUM(OSRRefE20_13x),0)</f>
        <v>0</v>
      </c>
    </row>
    <row r="74" spans="1:17" s="34" customFormat="1" hidden="1" outlineLevel="1" x14ac:dyDescent="0.25">
      <c r="A74" s="35"/>
      <c r="B74" s="10" t="str">
        <f>CONCATENATE("          ","6376", " - ","TRAINING")</f>
        <v xml:space="preserve">          6376 - TRAINING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>
        <v>0</v>
      </c>
      <c r="O74" s="2">
        <v>0</v>
      </c>
      <c r="P74" s="9"/>
      <c r="Q74" s="2">
        <f>SUM(OSRRefD21_13_0x)+IFERROR(SUM(OSRRefE21_13_0x),0)</f>
        <v>0</v>
      </c>
    </row>
    <row r="75" spans="1:17" s="30" customFormat="1" x14ac:dyDescent="0.25">
      <c r="A75" s="21"/>
      <c r="B75" s="21"/>
      <c r="C75" s="2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25">
      <c r="A76" s="23"/>
      <c r="B76" s="16" t="s">
        <v>291</v>
      </c>
      <c r="C76" s="22"/>
      <c r="D76" s="3">
        <f>0</f>
        <v>0</v>
      </c>
      <c r="E76" s="3">
        <f>--111.42</f>
        <v>111.42</v>
      </c>
      <c r="F76" s="3">
        <f t="shared" ref="F76:M76" si="3">0</f>
        <v>0</v>
      </c>
      <c r="G76" s="3">
        <f t="shared" si="3"/>
        <v>0</v>
      </c>
      <c r="H76" s="3">
        <f t="shared" si="3"/>
        <v>0</v>
      </c>
      <c r="I76" s="3">
        <f t="shared" si="3"/>
        <v>0</v>
      </c>
      <c r="J76" s="3">
        <f t="shared" si="3"/>
        <v>0</v>
      </c>
      <c r="K76" s="3">
        <f t="shared" si="3"/>
        <v>0</v>
      </c>
      <c r="L76" s="3">
        <f t="shared" si="3"/>
        <v>0</v>
      </c>
      <c r="M76" s="3">
        <f t="shared" si="3"/>
        <v>0</v>
      </c>
      <c r="N76" s="3"/>
      <c r="O76" s="3"/>
      <c r="Q76" s="2">
        <f>SUM(OSRRefD23_0x)+IFERROR(SUM(OSRRefE23_0x),0)</f>
        <v>111.42</v>
      </c>
    </row>
    <row r="77" spans="1:17" x14ac:dyDescent="0.2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6"/>
      <c r="B78" s="17" t="s">
        <v>274</v>
      </c>
      <c r="C78" s="17"/>
      <c r="D78" s="8">
        <f t="shared" ref="D78:O78" si="4">IFERROR(+D18-D21+D76, 0)</f>
        <v>-17067.47</v>
      </c>
      <c r="E78" s="8">
        <f t="shared" si="4"/>
        <v>-7250.7300000000005</v>
      </c>
      <c r="F78" s="8">
        <f t="shared" si="4"/>
        <v>-7376.42</v>
      </c>
      <c r="G78" s="8">
        <f t="shared" si="4"/>
        <v>-6784.05</v>
      </c>
      <c r="H78" s="8">
        <f t="shared" si="4"/>
        <v>-6747.53</v>
      </c>
      <c r="I78" s="8">
        <f t="shared" si="4"/>
        <v>-6944.03</v>
      </c>
      <c r="J78" s="8">
        <f t="shared" si="4"/>
        <v>-6745.17</v>
      </c>
      <c r="K78" s="8">
        <f t="shared" si="4"/>
        <v>-8430.17</v>
      </c>
      <c r="L78" s="8">
        <f t="shared" si="4"/>
        <v>-6642.3499999999995</v>
      </c>
      <c r="M78" s="8">
        <f t="shared" si="4"/>
        <v>-6745.17</v>
      </c>
      <c r="N78" s="8">
        <f t="shared" si="4"/>
        <v>-6745</v>
      </c>
      <c r="O78" s="8">
        <f t="shared" si="4"/>
        <v>-6745</v>
      </c>
      <c r="Q78" s="8">
        <f>IFERROR(+Q18-Q21+Q76, 0)</f>
        <v>-94223.09</v>
      </c>
    </row>
    <row r="79" spans="1:17" s="6" customFormat="1" x14ac:dyDescent="0.2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25">
      <c r="A80" s="5"/>
      <c r="B80" s="6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x14ac:dyDescent="0.25">
      <c r="A81" s="25"/>
      <c r="B81" s="6" t="s">
        <v>125</v>
      </c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124</v>
      </c>
      <c r="C83" s="17"/>
      <c r="D83" s="7">
        <f t="shared" ref="D83:O83" si="6">IFERROR(+D78-D81, 0)</f>
        <v>-17067.47</v>
      </c>
      <c r="E83" s="7">
        <f t="shared" si="6"/>
        <v>-7250.7300000000005</v>
      </c>
      <c r="F83" s="7">
        <f t="shared" si="6"/>
        <v>-7376.42</v>
      </c>
      <c r="G83" s="7">
        <f t="shared" si="6"/>
        <v>-6784.05</v>
      </c>
      <c r="H83" s="7">
        <f t="shared" si="6"/>
        <v>-6747.53</v>
      </c>
      <c r="I83" s="7">
        <f t="shared" si="6"/>
        <v>-6944.03</v>
      </c>
      <c r="J83" s="7">
        <f t="shared" si="6"/>
        <v>-6745.17</v>
      </c>
      <c r="K83" s="7">
        <f t="shared" si="6"/>
        <v>-8430.17</v>
      </c>
      <c r="L83" s="7">
        <f t="shared" si="6"/>
        <v>-6642.3499999999995</v>
      </c>
      <c r="M83" s="7">
        <f t="shared" si="6"/>
        <v>-6745.17</v>
      </c>
      <c r="N83" s="7">
        <f t="shared" si="6"/>
        <v>-6745</v>
      </c>
      <c r="O83" s="7">
        <f t="shared" si="6"/>
        <v>-6745</v>
      </c>
      <c r="Q83" s="7">
        <f>IFERROR(+Q78-Q81, 0)</f>
        <v>-94223.09</v>
      </c>
    </row>
    <row r="84" spans="1:17" ht="15.75" thickTop="1" x14ac:dyDescent="0.2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292</v>
      </c>
      <c r="C87" s="17"/>
      <c r="D87" s="7">
        <f t="shared" ref="D87:O87" si="8">IFERROR(SUM(D83:D86), 0)</f>
        <v>-17067.47</v>
      </c>
      <c r="E87" s="7">
        <f t="shared" si="8"/>
        <v>-7250.7300000000005</v>
      </c>
      <c r="F87" s="7">
        <f t="shared" si="8"/>
        <v>-7376.42</v>
      </c>
      <c r="G87" s="7">
        <f t="shared" si="8"/>
        <v>-6784.05</v>
      </c>
      <c r="H87" s="7">
        <f t="shared" si="8"/>
        <v>-6747.53</v>
      </c>
      <c r="I87" s="7">
        <f t="shared" si="8"/>
        <v>-6944.03</v>
      </c>
      <c r="J87" s="7">
        <f t="shared" si="8"/>
        <v>-6745.17</v>
      </c>
      <c r="K87" s="7">
        <f t="shared" si="8"/>
        <v>-8430.17</v>
      </c>
      <c r="L87" s="7">
        <f t="shared" si="8"/>
        <v>-6642.3499999999995</v>
      </c>
      <c r="M87" s="7">
        <f t="shared" si="8"/>
        <v>-6745.17</v>
      </c>
      <c r="N87" s="7">
        <f t="shared" si="8"/>
        <v>-6745</v>
      </c>
      <c r="O87" s="7">
        <f t="shared" si="8"/>
        <v>-6745</v>
      </c>
      <c r="Q87" s="7">
        <f>IFERROR(SUM(Q83:Q86), 0)</f>
        <v>-94223.09</v>
      </c>
    </row>
    <row r="88" spans="1:17" ht="15.75" thickTop="1" x14ac:dyDescent="0.2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25">
      <c r="A89" s="5"/>
      <c r="B89" s="27">
        <v>44330.012769791669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  <row r="90" spans="1:17" x14ac:dyDescent="0.25">
      <c r="A90" s="5"/>
      <c r="B90" s="31" t="s">
        <v>54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Q90" s="13"/>
    </row>
    <row r="91" spans="1:17" x14ac:dyDescent="0.25">
      <c r="A91" s="5"/>
      <c r="B91" s="26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Q91" s="13"/>
    </row>
    <row r="92" spans="1:17" x14ac:dyDescent="0.25"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Q9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","420", " - ", "Catering")</f>
        <v>Department 420 - Catering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SUM(OSRRefD11x_7)</f>
        <v>49980.95</v>
      </c>
      <c r="L10" s="3">
        <f>SUM(OSRRefD11x_8)</f>
        <v>51782.31</v>
      </c>
      <c r="M10" s="3">
        <f>SUM(OSRRefD11x_9)</f>
        <v>60315.630000000005</v>
      </c>
      <c r="N10" s="3">
        <f>SUM(OSRRefE11x_0)</f>
        <v>0</v>
      </c>
      <c r="O10" s="3">
        <f>SUM(OSRRefE11x_1)</f>
        <v>0</v>
      </c>
      <c r="P10" s="24"/>
      <c r="Q10" s="3">
        <f>SUM(OSRRefG11x)</f>
        <v>392255.74000000005</v>
      </c>
      <c r="R10" s="24"/>
    </row>
    <row r="11" spans="1:18" s="9" customFormat="1" hidden="1" outlineLevel="1" x14ac:dyDescent="0.25">
      <c r="A11" s="23"/>
      <c r="B11" s="10" t="str">
        <f>CONCATENATE("          ","4052", " - ","TAXABLE SALES-FOOD")</f>
        <v xml:space="preserve">          4052 - TAXABLE SALES-FOOD</v>
      </c>
      <c r="C11" s="22"/>
      <c r="D11" s="2">
        <f t="shared" ref="D11:F12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>
        <f>--49980.95</f>
        <v>49980.95</v>
      </c>
      <c r="L11" s="2">
        <f>--51782.31</f>
        <v>51782.31</v>
      </c>
      <c r="M11" s="2">
        <f>--48734.68</f>
        <v>48734.68</v>
      </c>
      <c r="N11" s="2"/>
      <c r="O11" s="2"/>
      <c r="Q11" s="2">
        <f>SUM(OSRRefD11_0x)+IFERROR(SUM(OSRRefE11_0x),0)</f>
        <v>380674.79000000004</v>
      </c>
    </row>
    <row r="12" spans="1:18" s="9" customFormat="1" hidden="1" outlineLevel="1" x14ac:dyDescent="0.25">
      <c r="A12" s="23"/>
      <c r="B12" s="10" t="str">
        <f>CONCATENATE("          ","4152", " - ","NON-TAXABLE SALES-FOOD")</f>
        <v xml:space="preserve">          4152 - NON-TAXABLE SALES-FOOD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ref="G12:L12" si="1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>--11580.95</f>
        <v>11580.95</v>
      </c>
      <c r="N12" s="2"/>
      <c r="O12" s="2"/>
      <c r="Q12" s="2">
        <f>SUM(OSRRefD11_1x)+IFERROR(SUM(OSRRefE11_1x),0)</f>
        <v>11580.95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3"/>
      <c r="B14" s="16" t="s">
        <v>217</v>
      </c>
      <c r="C14" s="22"/>
      <c r="D14" s="3">
        <f t="shared" ref="D14:O14" si="2">SUM(0)</f>
        <v>0</v>
      </c>
      <c r="E14" s="3">
        <f t="shared" si="2"/>
        <v>0</v>
      </c>
      <c r="F14" s="3">
        <f t="shared" si="2"/>
        <v>0</v>
      </c>
      <c r="G14" s="3">
        <f t="shared" si="2"/>
        <v>0</v>
      </c>
      <c r="H14" s="3">
        <f t="shared" si="2"/>
        <v>0</v>
      </c>
      <c r="I14" s="3">
        <f t="shared" si="2"/>
        <v>0</v>
      </c>
      <c r="J14" s="3">
        <f t="shared" si="2"/>
        <v>0</v>
      </c>
      <c r="K14" s="3">
        <f t="shared" si="2"/>
        <v>0</v>
      </c>
      <c r="L14" s="3">
        <f t="shared" si="2"/>
        <v>0</v>
      </c>
      <c r="M14" s="3">
        <f t="shared" si="2"/>
        <v>0</v>
      </c>
      <c r="N14" s="3">
        <f t="shared" si="2"/>
        <v>0</v>
      </c>
      <c r="O14" s="3">
        <f t="shared" si="2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3">IFERROR(+D10-D14, 0)</f>
        <v>0</v>
      </c>
      <c r="E16" s="8">
        <f t="shared" si="3"/>
        <v>0</v>
      </c>
      <c r="F16" s="8">
        <f t="shared" si="3"/>
        <v>0</v>
      </c>
      <c r="G16" s="8">
        <f t="shared" si="3"/>
        <v>30231.29</v>
      </c>
      <c r="H16" s="8">
        <f t="shared" si="3"/>
        <v>55493.87</v>
      </c>
      <c r="I16" s="8">
        <f t="shared" si="3"/>
        <v>62378.23</v>
      </c>
      <c r="J16" s="8">
        <f t="shared" si="3"/>
        <v>82073.460000000006</v>
      </c>
      <c r="K16" s="8">
        <f t="shared" si="3"/>
        <v>49980.95</v>
      </c>
      <c r="L16" s="8">
        <f t="shared" si="3"/>
        <v>51782.31</v>
      </c>
      <c r="M16" s="8">
        <f t="shared" si="3"/>
        <v>60315.630000000005</v>
      </c>
      <c r="N16" s="8">
        <f t="shared" si="3"/>
        <v>0</v>
      </c>
      <c r="O16" s="8">
        <f t="shared" si="3"/>
        <v>0</v>
      </c>
      <c r="Q16" s="8">
        <f>IFERROR(+Q10-Q14, 0)</f>
        <v>392255.74000000005</v>
      </c>
    </row>
    <row r="17" spans="1:17" s="6" customFormat="1" x14ac:dyDescent="0.25">
      <c r="B17" s="16"/>
      <c r="C17" s="16"/>
      <c r="D17" s="4">
        <f t="shared" ref="D17:O17" si="4">IFERROR(D16/D10, 0)</f>
        <v>0</v>
      </c>
      <c r="E17" s="4">
        <f t="shared" si="4"/>
        <v>0</v>
      </c>
      <c r="F17" s="4">
        <f t="shared" si="4"/>
        <v>0</v>
      </c>
      <c r="G17" s="4">
        <f t="shared" si="4"/>
        <v>1</v>
      </c>
      <c r="H17" s="4">
        <f t="shared" si="4"/>
        <v>1</v>
      </c>
      <c r="I17" s="4">
        <f t="shared" si="4"/>
        <v>1</v>
      </c>
      <c r="J17" s="4">
        <f t="shared" si="4"/>
        <v>1</v>
      </c>
      <c r="K17" s="4">
        <f t="shared" si="4"/>
        <v>1</v>
      </c>
      <c r="L17" s="4">
        <f t="shared" si="4"/>
        <v>1</v>
      </c>
      <c r="M17" s="4">
        <f t="shared" si="4"/>
        <v>1</v>
      </c>
      <c r="N17" s="4">
        <f t="shared" si="4"/>
        <v>0</v>
      </c>
      <c r="O17" s="4">
        <f t="shared" si="4"/>
        <v>0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0</v>
      </c>
      <c r="E19" s="14">
        <f>SUM(OSRRefD20x_1)</f>
        <v>0</v>
      </c>
      <c r="F19" s="14">
        <f>SUM(OSRRefD20x_2)</f>
        <v>0</v>
      </c>
      <c r="G19" s="14">
        <f>SUM(OSRRefD20x_3)</f>
        <v>0</v>
      </c>
      <c r="H19" s="14">
        <f>SUM(OSRRefD20x_4)</f>
        <v>7.86</v>
      </c>
      <c r="I19" s="14">
        <f>SUM(OSRRefD20x_5)</f>
        <v>0</v>
      </c>
      <c r="J19" s="14">
        <f>SUM(OSRRefD20x_6)</f>
        <v>0</v>
      </c>
      <c r="K19" s="14">
        <f>SUM(OSRRefD20x_7)</f>
        <v>0</v>
      </c>
      <c r="L19" s="14">
        <f>SUM(OSRRefD20x_8)</f>
        <v>341.22</v>
      </c>
      <c r="M19" s="14">
        <f>SUM(OSRRefD20x_9)</f>
        <v>0</v>
      </c>
      <c r="N19" s="14">
        <f>SUM(OSRRefE20x_0)</f>
        <v>0</v>
      </c>
      <c r="O19" s="14">
        <f>SUM(OSRRefE20x_1)</f>
        <v>0</v>
      </c>
      <c r="Q19" s="14">
        <f>SUM(OSRRefG20x)</f>
        <v>349.08000000000004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7.86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SUM(OSRRefE21_0x_0)</f>
        <v>0</v>
      </c>
      <c r="O20" s="1">
        <f>SUM(OSRRefE21_0x_1)</f>
        <v>0</v>
      </c>
      <c r="Q20" s="2">
        <f>SUM(OSRRefD20_0x)+IFERROR(SUM(OSRRefE20_0x),0)</f>
        <v>7.86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>
        <v>7.86</v>
      </c>
      <c r="I21" s="2"/>
      <c r="J21" s="2"/>
      <c r="K21" s="2"/>
      <c r="L21" s="2"/>
      <c r="M21" s="2"/>
      <c r="N21" s="2"/>
      <c r="O21" s="2"/>
      <c r="P21" s="9"/>
      <c r="Q21" s="2">
        <f>SUM(OSRRefD21_0_0x)+IFERROR(SUM(OSRRefE21_0_0x),0)</f>
        <v>7.86</v>
      </c>
    </row>
    <row r="22" spans="1:17" s="34" customFormat="1" collapsed="1" x14ac:dyDescent="0.25">
      <c r="A22" s="35"/>
      <c r="B22" s="11" t="str">
        <f>CONCATENATE("     ","Repair and Maintenance                            ")</f>
        <v xml:space="preserve">     Repair and Maintenance                            </v>
      </c>
      <c r="C22" s="11"/>
      <c r="D22" s="1">
        <f>SUM(OSRRefD21_1x_0)</f>
        <v>0</v>
      </c>
      <c r="E22" s="1">
        <f>SUM(OSRRefD21_1x_1)</f>
        <v>0</v>
      </c>
      <c r="F22" s="1">
        <f>SUM(OSRRefD21_1x_2)</f>
        <v>0</v>
      </c>
      <c r="G22" s="1">
        <f>SUM(OSRRefD21_1x_3)</f>
        <v>0</v>
      </c>
      <c r="H22" s="1">
        <f>SUM(OSRRefD21_1x_4)</f>
        <v>0</v>
      </c>
      <c r="I22" s="1">
        <f>SUM(OSRRefD21_1x_5)</f>
        <v>0</v>
      </c>
      <c r="J22" s="1">
        <f>SUM(OSRRefD21_1x_6)</f>
        <v>0</v>
      </c>
      <c r="K22" s="1">
        <f>SUM(OSRRefD21_1x_7)</f>
        <v>0</v>
      </c>
      <c r="L22" s="1">
        <f>SUM(OSRRefD21_1x_8)</f>
        <v>341.22</v>
      </c>
      <c r="M22" s="1">
        <f>SUM(OSRRefD21_1x_9)</f>
        <v>0</v>
      </c>
      <c r="N22" s="1">
        <f>SUM(OSRRefE21_1x_0)</f>
        <v>0</v>
      </c>
      <c r="O22" s="1">
        <f>SUM(OSRRefE21_1x_1)</f>
        <v>0</v>
      </c>
      <c r="Q22" s="2">
        <f>SUM(OSRRefD20_1x)+IFERROR(SUM(OSRRefE20_1x),0)</f>
        <v>341.22</v>
      </c>
    </row>
    <row r="23" spans="1:17" s="34" customFormat="1" hidden="1" outlineLevel="1" x14ac:dyDescent="0.25">
      <c r="A23" s="35"/>
      <c r="B23" s="10" t="str">
        <f>CONCATENATE("          ","6375", " - ","OUTSIDE REPAIRS &amp; MAINTENANCE")</f>
        <v xml:space="preserve">          6375 - OUTSIDE REPAIRS &amp; MAINTENANCE</v>
      </c>
      <c r="C23" s="11"/>
      <c r="D23" s="2"/>
      <c r="E23" s="2"/>
      <c r="F23" s="2"/>
      <c r="G23" s="2"/>
      <c r="H23" s="2"/>
      <c r="I23" s="2"/>
      <c r="J23" s="2"/>
      <c r="K23" s="2"/>
      <c r="L23" s="2">
        <v>341.22</v>
      </c>
      <c r="M23" s="2"/>
      <c r="N23" s="2"/>
      <c r="O23" s="2"/>
      <c r="P23" s="9"/>
      <c r="Q23" s="2">
        <f>SUM(OSRRefD21_1_0x)+IFERROR(SUM(OSRRefE21_1_0x),0)</f>
        <v>341.22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3"/>
      <c r="B25" s="16" t="s">
        <v>291</v>
      </c>
      <c r="C25" s="22"/>
      <c r="D25" s="3">
        <f t="shared" ref="D25:M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>
        <f t="shared" si="5"/>
        <v>0</v>
      </c>
      <c r="L25" s="3">
        <f t="shared" si="5"/>
        <v>0</v>
      </c>
      <c r="M25" s="3">
        <f t="shared" si="5"/>
        <v>0</v>
      </c>
      <c r="N25" s="3"/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274</v>
      </c>
      <c r="C27" s="17"/>
      <c r="D27" s="8">
        <f t="shared" ref="D27:O27" si="6">IFERROR(+D16-D19+D25, 0)</f>
        <v>0</v>
      </c>
      <c r="E27" s="8">
        <f t="shared" si="6"/>
        <v>0</v>
      </c>
      <c r="F27" s="8">
        <f t="shared" si="6"/>
        <v>0</v>
      </c>
      <c r="G27" s="8">
        <f t="shared" si="6"/>
        <v>30231.29</v>
      </c>
      <c r="H27" s="8">
        <f t="shared" si="6"/>
        <v>55486.01</v>
      </c>
      <c r="I27" s="8">
        <f t="shared" si="6"/>
        <v>62378.23</v>
      </c>
      <c r="J27" s="8">
        <f t="shared" si="6"/>
        <v>82073.460000000006</v>
      </c>
      <c r="K27" s="8">
        <f t="shared" si="6"/>
        <v>49980.95</v>
      </c>
      <c r="L27" s="8">
        <f t="shared" si="6"/>
        <v>51441.09</v>
      </c>
      <c r="M27" s="8">
        <f t="shared" si="6"/>
        <v>60315.630000000005</v>
      </c>
      <c r="N27" s="8">
        <f t="shared" si="6"/>
        <v>0</v>
      </c>
      <c r="O27" s="8">
        <f t="shared" si="6"/>
        <v>0</v>
      </c>
      <c r="Q27" s="8">
        <f>IFERROR(+Q16-Q19+Q25, 0)</f>
        <v>391906.66000000003</v>
      </c>
    </row>
    <row r="28" spans="1:17" s="6" customFormat="1" x14ac:dyDescent="0.25">
      <c r="B28" s="16"/>
      <c r="C28" s="16"/>
      <c r="D28" s="4">
        <f t="shared" ref="D28:O28" si="7">IFERROR(D27/D10, 0)</f>
        <v>0</v>
      </c>
      <c r="E28" s="4">
        <f t="shared" si="7"/>
        <v>0</v>
      </c>
      <c r="F28" s="4">
        <f t="shared" si="7"/>
        <v>0</v>
      </c>
      <c r="G28" s="4">
        <f t="shared" si="7"/>
        <v>1</v>
      </c>
      <c r="H28" s="4">
        <f t="shared" si="7"/>
        <v>0.99985836273447859</v>
      </c>
      <c r="I28" s="4">
        <f t="shared" si="7"/>
        <v>1</v>
      </c>
      <c r="J28" s="4">
        <f t="shared" si="7"/>
        <v>1</v>
      </c>
      <c r="K28" s="4">
        <f t="shared" si="7"/>
        <v>1</v>
      </c>
      <c r="L28" s="4">
        <f t="shared" si="7"/>
        <v>0.99341049095723999</v>
      </c>
      <c r="M28" s="4">
        <f t="shared" si="7"/>
        <v>1</v>
      </c>
      <c r="N28" s="4">
        <f t="shared" si="7"/>
        <v>0</v>
      </c>
      <c r="O28" s="4">
        <f t="shared" si="7"/>
        <v>0</v>
      </c>
      <c r="P28" s="18"/>
      <c r="Q28" s="4">
        <f>IFERROR(Q27/Q10, 0)</f>
        <v>0.99911007038418354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>
        <v>6548.75</v>
      </c>
      <c r="H30" s="3">
        <v>7072.98</v>
      </c>
      <c r="I30" s="3">
        <v>13780.53</v>
      </c>
      <c r="J30" s="3">
        <v>14380.95</v>
      </c>
      <c r="K30" s="3">
        <v>13698.06</v>
      </c>
      <c r="L30" s="3">
        <v>12928.77</v>
      </c>
      <c r="M30" s="3">
        <v>13651.45</v>
      </c>
      <c r="N30" s="3"/>
      <c r="O30" s="3"/>
      <c r="Q30" s="2">
        <f>SUM(OSRRefD28_0x)+IFERROR(SUM(OSRRefE28_0x),0)</f>
        <v>82061.490000000005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7">
        <f t="shared" ref="D32:O32" si="8">IFERROR(+D27-D30, 0)</f>
        <v>0</v>
      </c>
      <c r="E32" s="7">
        <f t="shared" si="8"/>
        <v>0</v>
      </c>
      <c r="F32" s="7">
        <f t="shared" si="8"/>
        <v>0</v>
      </c>
      <c r="G32" s="7">
        <f t="shared" si="8"/>
        <v>23682.54</v>
      </c>
      <c r="H32" s="7">
        <f t="shared" si="8"/>
        <v>48413.03</v>
      </c>
      <c r="I32" s="7">
        <f t="shared" si="8"/>
        <v>48597.700000000004</v>
      </c>
      <c r="J32" s="7">
        <f t="shared" si="8"/>
        <v>67692.510000000009</v>
      </c>
      <c r="K32" s="7">
        <f t="shared" si="8"/>
        <v>36282.89</v>
      </c>
      <c r="L32" s="7">
        <f t="shared" si="8"/>
        <v>38512.319999999992</v>
      </c>
      <c r="M32" s="7">
        <f t="shared" si="8"/>
        <v>46664.180000000008</v>
      </c>
      <c r="N32" s="7">
        <f t="shared" si="8"/>
        <v>0</v>
      </c>
      <c r="O32" s="7">
        <f t="shared" si="8"/>
        <v>0</v>
      </c>
      <c r="Q32" s="7">
        <f>IFERROR(+Q27-Q30, 0)</f>
        <v>309845.17000000004</v>
      </c>
    </row>
    <row r="33" spans="1:17" ht="15.75" thickTop="1" x14ac:dyDescent="0.25">
      <c r="A33" s="5"/>
      <c r="B33" s="5"/>
      <c r="C33" s="5"/>
      <c r="D33" s="4">
        <f t="shared" ref="D33:O33" si="9">IFERROR(D32/D10, 0)</f>
        <v>0</v>
      </c>
      <c r="E33" s="4">
        <f t="shared" si="9"/>
        <v>0</v>
      </c>
      <c r="F33" s="4">
        <f t="shared" si="9"/>
        <v>0</v>
      </c>
      <c r="G33" s="4">
        <f t="shared" si="9"/>
        <v>0.78337841355760873</v>
      </c>
      <c r="H33" s="4">
        <f t="shared" si="9"/>
        <v>0.87240320417372219</v>
      </c>
      <c r="I33" s="4">
        <f t="shared" si="9"/>
        <v>0.77908109928736358</v>
      </c>
      <c r="J33" s="4">
        <f t="shared" si="9"/>
        <v>0.82477953287213679</v>
      </c>
      <c r="K33" s="4">
        <f t="shared" si="9"/>
        <v>0.72593438099916074</v>
      </c>
      <c r="L33" s="4">
        <f t="shared" si="9"/>
        <v>0.74373507091514446</v>
      </c>
      <c r="M33" s="4">
        <f t="shared" si="9"/>
        <v>0.77366646091568647</v>
      </c>
      <c r="N33" s="4">
        <f t="shared" si="9"/>
        <v>0</v>
      </c>
      <c r="O33" s="4">
        <f t="shared" si="9"/>
        <v>0</v>
      </c>
      <c r="P33" s="18"/>
      <c r="Q33" s="4">
        <f>IFERROR(Q32/Q10, 0)</f>
        <v>0.78990601896609591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292</v>
      </c>
      <c r="C36" s="17"/>
      <c r="D36" s="7">
        <f t="shared" ref="D36:O36" si="10">IFERROR(SUM(D32:D35), 0)</f>
        <v>0</v>
      </c>
      <c r="E36" s="7">
        <f t="shared" si="10"/>
        <v>0</v>
      </c>
      <c r="F36" s="7">
        <f t="shared" si="10"/>
        <v>0</v>
      </c>
      <c r="G36" s="7">
        <f t="shared" si="10"/>
        <v>23683.323378413559</v>
      </c>
      <c r="H36" s="7">
        <f t="shared" si="10"/>
        <v>48413.902403204171</v>
      </c>
      <c r="I36" s="7">
        <f t="shared" si="10"/>
        <v>48598.479081099293</v>
      </c>
      <c r="J36" s="7">
        <f t="shared" si="10"/>
        <v>67693.334779532888</v>
      </c>
      <c r="K36" s="7">
        <f t="shared" si="10"/>
        <v>36283.615934381</v>
      </c>
      <c r="L36" s="7">
        <f t="shared" si="10"/>
        <v>38513.063735070908</v>
      </c>
      <c r="M36" s="7">
        <f t="shared" si="10"/>
        <v>46664.953666460926</v>
      </c>
      <c r="N36" s="7">
        <f t="shared" si="10"/>
        <v>0</v>
      </c>
      <c r="O36" s="7">
        <f t="shared" si="10"/>
        <v>0</v>
      </c>
      <c r="Q36" s="7">
        <f>IFERROR(SUM(Q32:Q35), 0)</f>
        <v>309845.95990601898</v>
      </c>
    </row>
    <row r="37" spans="1:17" ht="15.75" thickTop="1" x14ac:dyDescent="0.25">
      <c r="A37" s="5"/>
      <c r="C37" s="5"/>
      <c r="D37" s="4">
        <f t="shared" ref="D37:O37" si="11">IFERROR(D36/D10, 0)</f>
        <v>0</v>
      </c>
      <c r="E37" s="4">
        <f t="shared" si="11"/>
        <v>0</v>
      </c>
      <c r="F37" s="4">
        <f t="shared" si="11"/>
        <v>0</v>
      </c>
      <c r="G37" s="4">
        <f t="shared" si="11"/>
        <v>0.7834043263920778</v>
      </c>
      <c r="H37" s="4">
        <f t="shared" si="11"/>
        <v>0.87241892488673378</v>
      </c>
      <c r="I37" s="4">
        <f t="shared" si="11"/>
        <v>0.7790935889187508</v>
      </c>
      <c r="J37" s="4">
        <f t="shared" si="11"/>
        <v>0.82478958215643505</v>
      </c>
      <c r="K37" s="4">
        <f t="shared" si="11"/>
        <v>0.72594890522050903</v>
      </c>
      <c r="L37" s="4">
        <f t="shared" si="11"/>
        <v>0.74374943364000001</v>
      </c>
      <c r="M37" s="4">
        <f t="shared" si="11"/>
        <v>0.77367928788045359</v>
      </c>
      <c r="N37" s="4">
        <f t="shared" si="11"/>
        <v>0</v>
      </c>
      <c r="O37" s="4">
        <f t="shared" si="11"/>
        <v>0</v>
      </c>
      <c r="P37" s="18"/>
      <c r="Q37" s="4">
        <f>IFERROR(Q36/Q10, 0)</f>
        <v>0.78990803271870269</v>
      </c>
    </row>
    <row r="38" spans="1:17" x14ac:dyDescent="0.25">
      <c r="A38" s="5"/>
      <c r="B38" s="27">
        <v>44330.012769791669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25">
      <c r="A39" s="5"/>
      <c r="B39" s="31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25">
      <c r="A40" s="5"/>
      <c r="B40" s="26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","423", " - ", "Contract/Vending Revenue")</f>
        <v>Department 423 - Contract/Vending Revenue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2458.4299999999998</v>
      </c>
      <c r="E17" s="14">
        <f>SUM(OSRRefD20x_1)</f>
        <v>36</v>
      </c>
      <c r="F17" s="14">
        <f>SUM(OSRRefD20x_2)</f>
        <v>200</v>
      </c>
      <c r="G17" s="14">
        <f>SUM(OSRRefD20x_3)</f>
        <v>-114</v>
      </c>
      <c r="H17" s="14">
        <f>SUM(OSRRefD20x_4)</f>
        <v>361</v>
      </c>
      <c r="I17" s="14">
        <f>SUM(OSRRefD20x_5)</f>
        <v>191.5</v>
      </c>
      <c r="J17" s="14">
        <f>SUM(OSRRefD20x_6)</f>
        <v>-77.740000000000009</v>
      </c>
      <c r="K17" s="14">
        <f>SUM(OSRRefD20x_7)</f>
        <v>47.55</v>
      </c>
      <c r="L17" s="14">
        <f>SUM(OSRRefD20x_8)</f>
        <v>186</v>
      </c>
      <c r="M17" s="14">
        <f>SUM(OSRRefD20x_9)</f>
        <v>-107.75</v>
      </c>
      <c r="N17" s="14">
        <f>SUM(OSRRefE20x_0)</f>
        <v>14393.621307692309</v>
      </c>
      <c r="O17" s="14">
        <f>SUM(OSRRefE20x_1)</f>
        <v>16543.621307692309</v>
      </c>
      <c r="Q17" s="14">
        <f>SUM(OSRRefG20x)</f>
        <v>34118.232615384615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SUM(OSRRefE21_0x_0)</f>
        <v>4356.313615384619</v>
      </c>
      <c r="O18" s="1">
        <f>SUM(OSRRefE21_0x_1)</f>
        <v>4356.313615384619</v>
      </c>
      <c r="Q18" s="2">
        <f>SUM(OSRRefD20_0x)+IFERROR(SUM(OSRRefE20_0x),0)</f>
        <v>11191.357230769238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>
        <v>847.12823076923098</v>
      </c>
      <c r="O19" s="2">
        <v>847.12823076923098</v>
      </c>
      <c r="P19" s="9"/>
      <c r="Q19" s="2">
        <f>SUM(OSRRefD21_0_0x)+IFERROR(SUM(OSRRefE21_0_0x),0)</f>
        <v>1694.256461538462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>
        <v>36.528461538461499</v>
      </c>
      <c r="O20" s="2">
        <v>36.528461538461499</v>
      </c>
      <c r="P20" s="9"/>
      <c r="Q20" s="2">
        <f>SUM(OSRRefD21_0_1x)+IFERROR(SUM(OSRRefE21_0_1x),0)</f>
        <v>73.056923076922999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1868.2</v>
      </c>
      <c r="E21" s="2"/>
      <c r="F21" s="2"/>
      <c r="G21" s="2"/>
      <c r="H21" s="2"/>
      <c r="I21" s="2"/>
      <c r="J21" s="2"/>
      <c r="K21" s="2"/>
      <c r="L21" s="2"/>
      <c r="M21" s="2"/>
      <c r="N21" s="2">
        <v>1385</v>
      </c>
      <c r="O21" s="2">
        <v>1385</v>
      </c>
      <c r="P21" s="9"/>
      <c r="Q21" s="2">
        <f>SUM(OSRRefD21_0_2x)+IFERROR(SUM(OSRRefE21_0_2x),0)</f>
        <v>4638.2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28.78</v>
      </c>
      <c r="O22" s="2">
        <v>28.78</v>
      </c>
      <c r="P22" s="9"/>
      <c r="Q22" s="2">
        <f>SUM(OSRRefD21_0_3x)+IFERROR(SUM(OSRRefE21_0_3x),0)</f>
        <v>57.56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610.53</v>
      </c>
      <c r="E23" s="2"/>
      <c r="F23" s="2"/>
      <c r="G23" s="2"/>
      <c r="H23" s="2"/>
      <c r="I23" s="2"/>
      <c r="J23" s="2"/>
      <c r="K23" s="2"/>
      <c r="L23" s="2"/>
      <c r="M23" s="2"/>
      <c r="N23" s="2">
        <v>951.95384615384603</v>
      </c>
      <c r="O23" s="2">
        <v>951.95384615384603</v>
      </c>
      <c r="P23" s="9"/>
      <c r="Q23" s="2">
        <f>SUM(OSRRefD21_0_4x)+IFERROR(SUM(OSRRefE21_0_4x),0)</f>
        <v>2514.437692307692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>
        <v>1106.9230769230801</v>
      </c>
      <c r="O25" s="2">
        <v>1106.9230769230801</v>
      </c>
      <c r="P25" s="9"/>
      <c r="Q25" s="2">
        <f>SUM(OSRRefD21_0_6x)+IFERROR(SUM(OSRRefE21_0_6x),0)</f>
        <v>2213.8461538461602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25">
      <c r="A27" s="35"/>
      <c r="B27" s="11" t="str">
        <f>CONCATENATE("     ","*Payroll                                          ")</f>
        <v xml:space="preserve">     *Payroll                                          </v>
      </c>
      <c r="C27" s="11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SUM(OSRRefD21_1x_7)</f>
        <v>0</v>
      </c>
      <c r="L27" s="1">
        <f>SUM(OSRRefD21_1x_8)</f>
        <v>0</v>
      </c>
      <c r="M27" s="1">
        <f>SUM(OSRRefD21_1x_9)</f>
        <v>0</v>
      </c>
      <c r="N27" s="1">
        <f>SUM(OSRRefE21_1x_0)</f>
        <v>9962.3076923076896</v>
      </c>
      <c r="O27" s="1">
        <f>SUM(OSRRefE21_1x_1)</f>
        <v>9962.3076923076896</v>
      </c>
      <c r="Q27" s="2">
        <f>SUM(OSRRefD20_1x)+IFERROR(SUM(OSRRefE20_1x),0)</f>
        <v>19924.615384615379</v>
      </c>
    </row>
    <row r="28" spans="1:17" s="34" customFormat="1" hidden="1" outlineLevel="1" x14ac:dyDescent="0.25">
      <c r="A28" s="35"/>
      <c r="B28" s="10" t="str">
        <f>CONCATENATE("          ","6001", " - ","ADMINISTRATIVE SALARIES")</f>
        <v xml:space="preserve">          6001 - ADMINISTRATIVE SALARIES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>
        <v>9962.3076923076896</v>
      </c>
      <c r="O28" s="2">
        <v>9962.3076923076896</v>
      </c>
      <c r="P28" s="9"/>
      <c r="Q28" s="2">
        <f>SUM(OSRRefD21_1_0x)+IFERROR(SUM(OSRRefE21_1_0x),0)</f>
        <v>19924.615384615379</v>
      </c>
    </row>
    <row r="29" spans="1:17" s="34" customFormat="1" hidden="1" outlineLevel="1" x14ac:dyDescent="0.25">
      <c r="A29" s="35"/>
      <c r="B29" s="10" t="str">
        <f>CONCATENATE("          ","6002", " - ","STAFF SALARIES")</f>
        <v xml:space="preserve">          6002 - STAFF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25">
      <c r="A30" s="35"/>
      <c r="B30" s="10" t="str">
        <f>CONCATENATE("          ","6003", " - ","STAFF HOURLY-9 MONTH")</f>
        <v xml:space="preserve">          6003 - STAFF HOURLY-9 MONTH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25">
      <c r="A31" s="35"/>
      <c r="B31" s="10" t="str">
        <f>CONCATENATE("          ","6004", " - ","STAFF HOURLY")</f>
        <v xml:space="preserve">          6004 - STAFF HOURLY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25">
      <c r="A32" s="35"/>
      <c r="B32" s="10" t="str">
        <f>CONCATENATE("          ","6005", " - ","TEMPORARY WAGES-HOURLY")</f>
        <v xml:space="preserve">          6005 - TEMPORARY WAGES-HOURLY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25">
      <c r="A33" s="35"/>
      <c r="B33" s="10" t="str">
        <f>CONCATENATE("          ","6006", " - ","TEMPORARY PART TIME")</f>
        <v xml:space="preserve">          6006 - TEMPORARY PART TIME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25">
      <c r="A34" s="35"/>
      <c r="B34" s="10" t="str">
        <f>CONCATENATE("          ","6007", " - ","STUDENT HOURLY")</f>
        <v xml:space="preserve">          6007 - STUDENT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25">
      <c r="A35" s="35"/>
      <c r="B35" s="10" t="str">
        <f>CONCATENATE("          ","6008", " - ","STUDENT HOURLY-FICA EXEMPT")</f>
        <v xml:space="preserve">          6008 - STUDENT HOURLY-FICA EXEMPT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25">
      <c r="A36" s="35"/>
      <c r="B36" s="10" t="str">
        <f>CONCATENATE("          ","6009", " - ","TEMPORARY-SEASONAL")</f>
        <v xml:space="preserve">          6009 - TEMPORARY-SEASONAL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25">
      <c r="A37" s="35"/>
      <c r="B37" s="10" t="str">
        <f>CONCATENATE("          ","6010", " - ","GRATUITY")</f>
        <v xml:space="preserve">          6010 - GRATUITY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25">
      <c r="A38" s="35"/>
      <c r="B38" s="11" t="str">
        <f>CONCATENATE("     ","R/H Commissions                                   ")</f>
        <v xml:space="preserve">     R/H Commissions                                   </v>
      </c>
      <c r="C38" s="11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0</v>
      </c>
      <c r="K38" s="1">
        <f>SUM(OSRRefD21_2x_7)</f>
        <v>0</v>
      </c>
      <c r="L38" s="1">
        <f>SUM(OSRRefD21_2x_8)</f>
        <v>0</v>
      </c>
      <c r="M38" s="1">
        <f>SUM(OSRRefD21_2x_9)</f>
        <v>0</v>
      </c>
      <c r="N38" s="1">
        <f>SUM(OSRRefE21_2x_0)</f>
        <v>0</v>
      </c>
      <c r="O38" s="1">
        <f>SUM(OSRRefE21_2x_1)</f>
        <v>2000</v>
      </c>
      <c r="Q38" s="2">
        <f>SUM(OSRRefD20_2x)+IFERROR(SUM(OSRRefE20_2x),0)</f>
        <v>2000</v>
      </c>
    </row>
    <row r="39" spans="1:17" s="34" customFormat="1" hidden="1" outlineLevel="1" x14ac:dyDescent="0.25">
      <c r="A39" s="35"/>
      <c r="B39" s="10" t="str">
        <f>CONCATENATE("          ","6387", " - ","COMMISSION DUE HOUSING")</f>
        <v xml:space="preserve">          6387 - COMMISSION DUE HOUSING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4" customFormat="1" collapsed="1" x14ac:dyDescent="0.25">
      <c r="A40" s="35"/>
      <c r="B40" s="11" t="str">
        <f>CONCATENATE("     ","Services                                          ")</f>
        <v xml:space="preserve">     Services                                          </v>
      </c>
      <c r="C40" s="11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SUM(OSRRefD21_3x_6)</f>
        <v>0</v>
      </c>
      <c r="K40" s="1">
        <f>SUM(OSRRefD21_3x_7)</f>
        <v>0</v>
      </c>
      <c r="L40" s="1">
        <f>SUM(OSRRefD21_3x_8)</f>
        <v>0</v>
      </c>
      <c r="M40" s="1">
        <f>SUM(OSRRefD21_3x_9)</f>
        <v>0</v>
      </c>
      <c r="N40" s="1">
        <f>SUM(OSRRefE21_3x_0)</f>
        <v>0</v>
      </c>
      <c r="O40" s="1">
        <f>SUM(OSRRefE21_3x_1)</f>
        <v>0</v>
      </c>
      <c r="Q40" s="2">
        <f>SUM(OSRRefD20_3x)+IFERROR(SUM(OSRRefE20_3x),0)</f>
        <v>0</v>
      </c>
    </row>
    <row r="41" spans="1:17" s="34" customFormat="1" hidden="1" outlineLevel="1" x14ac:dyDescent="0.25">
      <c r="A41" s="35"/>
      <c r="B41" s="10" t="str">
        <f>CONCATENATE("          ","6282", " - ","JANITORIAL/EXTERMINATOR EXPENS")</f>
        <v xml:space="preserve">          6282 - JANITORIAL/EXTERMINATOR EXPENS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4" customFormat="1" hidden="1" outlineLevel="1" x14ac:dyDescent="0.25">
      <c r="A42" s="35"/>
      <c r="B42" s="10" t="str">
        <f>CONCATENATE("          ","6285", " - ","JANITORIAL SERVICES")</f>
        <v xml:space="preserve">          6285 - JANITORIAL SERVICES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4" customFormat="1" collapsed="1" x14ac:dyDescent="0.25">
      <c r="A43" s="35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SUM(OSRRefD21_4x_6)</f>
        <v>36.26</v>
      </c>
      <c r="K43" s="1">
        <f>SUM(OSRRefD21_4x_7)</f>
        <v>11.55</v>
      </c>
      <c r="L43" s="1">
        <f>SUM(OSRRefD21_4x_8)</f>
        <v>0</v>
      </c>
      <c r="M43" s="1">
        <f>SUM(OSRRefD21_4x_9)</f>
        <v>6.25</v>
      </c>
      <c r="N43" s="1">
        <f>SUM(OSRRefE21_4x_0)</f>
        <v>25</v>
      </c>
      <c r="O43" s="1">
        <f>SUM(OSRRefE21_4x_1)</f>
        <v>25</v>
      </c>
      <c r="Q43" s="2">
        <f>SUM(OSRRefD20_4x)+IFERROR(SUM(OSRRefE20_4x),0)</f>
        <v>53.260000000000005</v>
      </c>
    </row>
    <row r="44" spans="1:17" s="34" customFormat="1" hidden="1" outlineLevel="1" x14ac:dyDescent="0.25">
      <c r="A44" s="35"/>
      <c r="B44" s="10" t="str">
        <f>CONCATENATE("          ","6241", " - ","OFFICE EXPENSE")</f>
        <v xml:space="preserve">          6241 - OFFICE EXPENSE</v>
      </c>
      <c r="C44" s="11"/>
      <c r="D44" s="2">
        <v>-56.3</v>
      </c>
      <c r="E44" s="2"/>
      <c r="F44" s="2"/>
      <c r="G44" s="2"/>
      <c r="H44" s="2"/>
      <c r="I44" s="2">
        <v>5.5</v>
      </c>
      <c r="J44" s="2">
        <v>36.26</v>
      </c>
      <c r="K44" s="2">
        <v>11.55</v>
      </c>
      <c r="L44" s="2"/>
      <c r="M44" s="2">
        <v>6.25</v>
      </c>
      <c r="N44" s="2">
        <v>25</v>
      </c>
      <c r="O44" s="2">
        <v>25</v>
      </c>
      <c r="P44" s="9"/>
      <c r="Q44" s="2">
        <f>SUM(OSRRefD21_4_0x)+IFERROR(SUM(OSRRefE21_4_0x),0)</f>
        <v>53.260000000000005</v>
      </c>
    </row>
    <row r="45" spans="1:17" s="34" customFormat="1" collapsed="1" x14ac:dyDescent="0.25">
      <c r="A45" s="35"/>
      <c r="B45" s="11" t="str">
        <f>CONCATENATE("     ","Telephone/Data Lines                              ")</f>
        <v xml:space="preserve">     Telephone/Data Lines                              </v>
      </c>
      <c r="C45" s="11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SUM(OSRRefD21_5x_6)</f>
        <v>-114</v>
      </c>
      <c r="K45" s="1">
        <f>SUM(OSRRefD21_5x_7)</f>
        <v>36</v>
      </c>
      <c r="L45" s="1">
        <f>SUM(OSRRefD21_5x_8)</f>
        <v>186</v>
      </c>
      <c r="M45" s="1">
        <f>SUM(OSRRefD21_5x_9)</f>
        <v>-114</v>
      </c>
      <c r="N45" s="1">
        <f>SUM(OSRRefE21_5x_0)</f>
        <v>50</v>
      </c>
      <c r="O45" s="1">
        <f>SUM(OSRRefE21_5x_1)</f>
        <v>200</v>
      </c>
      <c r="Q45" s="2">
        <f>SUM(OSRRefD20_5x)+IFERROR(SUM(OSRRefE20_5x),0)</f>
        <v>949</v>
      </c>
    </row>
    <row r="46" spans="1:17" s="34" customFormat="1" hidden="1" outlineLevel="1" x14ac:dyDescent="0.25">
      <c r="A46" s="35"/>
      <c r="B46" s="10" t="str">
        <f>CONCATENATE("          ","6309", " - ","TELEPHONE")</f>
        <v xml:space="preserve">          6309 - TELEPHONE</v>
      </c>
      <c r="C46" s="11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-114</v>
      </c>
      <c r="K46" s="2">
        <v>36</v>
      </c>
      <c r="L46" s="2">
        <v>186</v>
      </c>
      <c r="M46" s="2">
        <v>-114</v>
      </c>
      <c r="N46" s="2">
        <v>50</v>
      </c>
      <c r="O46" s="2">
        <v>200</v>
      </c>
      <c r="P46" s="9"/>
      <c r="Q46" s="2">
        <f>SUM(OSRRefD21_5_0x)+IFERROR(SUM(OSRRefE21_5_0x),0)</f>
        <v>949</v>
      </c>
    </row>
    <row r="47" spans="1:17" s="34" customFormat="1" collapsed="1" x14ac:dyDescent="0.25">
      <c r="A47" s="35"/>
      <c r="B47" s="11" t="str">
        <f>CONCATENATE("     ","Utilities                                         ")</f>
        <v xml:space="preserve">     Utilities                                         </v>
      </c>
      <c r="C47" s="11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SUM(OSRRefD21_6x_8)</f>
        <v>0</v>
      </c>
      <c r="M47" s="1">
        <f>SUM(OSRRefD21_6x_9)</f>
        <v>0</v>
      </c>
      <c r="N47" s="1">
        <f>SUM(OSRRefE21_6x_0)</f>
        <v>0</v>
      </c>
      <c r="O47" s="1">
        <f>SUM(OSRRefE21_6x_1)</f>
        <v>0</v>
      </c>
      <c r="Q47" s="2">
        <f>SUM(OSRRefD20_6x)+IFERROR(SUM(OSRRefE20_6x),0)</f>
        <v>0</v>
      </c>
    </row>
    <row r="48" spans="1:17" s="34" customFormat="1" hidden="1" outlineLevel="1" x14ac:dyDescent="0.25">
      <c r="A48" s="35"/>
      <c r="B48" s="10" t="str">
        <f>CONCATENATE("          ","6274", " - ","UTILITIES")</f>
        <v xml:space="preserve">          6274 - UTILITIES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3"/>
      <c r="B50" s="16" t="s">
        <v>291</v>
      </c>
      <c r="C50" s="22"/>
      <c r="D50" s="3">
        <f t="shared" ref="D50:M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>
        <f t="shared" si="4"/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274</v>
      </c>
      <c r="C52" s="17"/>
      <c r="D52" s="8">
        <f t="shared" ref="D52:O52" si="5">IFERROR(+D14-D17+D50, 0)</f>
        <v>-2458.4299999999998</v>
      </c>
      <c r="E52" s="8">
        <f t="shared" si="5"/>
        <v>-36</v>
      </c>
      <c r="F52" s="8">
        <f t="shared" si="5"/>
        <v>-200</v>
      </c>
      <c r="G52" s="8">
        <f t="shared" si="5"/>
        <v>114</v>
      </c>
      <c r="H52" s="8">
        <f t="shared" si="5"/>
        <v>-361</v>
      </c>
      <c r="I52" s="8">
        <f t="shared" si="5"/>
        <v>-191.5</v>
      </c>
      <c r="J52" s="8">
        <f t="shared" si="5"/>
        <v>77.740000000000009</v>
      </c>
      <c r="K52" s="8">
        <f t="shared" si="5"/>
        <v>-47.55</v>
      </c>
      <c r="L52" s="8">
        <f t="shared" si="5"/>
        <v>-186</v>
      </c>
      <c r="M52" s="8">
        <f t="shared" si="5"/>
        <v>107.75</v>
      </c>
      <c r="N52" s="8">
        <f t="shared" si="5"/>
        <v>-14393.621307692309</v>
      </c>
      <c r="O52" s="8">
        <f t="shared" si="5"/>
        <v>-16543.621307692309</v>
      </c>
      <c r="Q52" s="8">
        <f>IFERROR(+Q14-Q17+Q50, 0)</f>
        <v>-34118.232615384615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7">
        <f t="shared" ref="D57:O57" si="7">IFERROR(+D52-D55, 0)</f>
        <v>-2458.4299999999998</v>
      </c>
      <c r="E57" s="7">
        <f t="shared" si="7"/>
        <v>-36</v>
      </c>
      <c r="F57" s="7">
        <f t="shared" si="7"/>
        <v>-200</v>
      </c>
      <c r="G57" s="7">
        <f t="shared" si="7"/>
        <v>114</v>
      </c>
      <c r="H57" s="7">
        <f t="shared" si="7"/>
        <v>-361</v>
      </c>
      <c r="I57" s="7">
        <f t="shared" si="7"/>
        <v>-191.5</v>
      </c>
      <c r="J57" s="7">
        <f t="shared" si="7"/>
        <v>77.740000000000009</v>
      </c>
      <c r="K57" s="7">
        <f t="shared" si="7"/>
        <v>-47.55</v>
      </c>
      <c r="L57" s="7">
        <f t="shared" si="7"/>
        <v>-186</v>
      </c>
      <c r="M57" s="7">
        <f t="shared" si="7"/>
        <v>107.75</v>
      </c>
      <c r="N57" s="7">
        <f t="shared" si="7"/>
        <v>-14393.621307692309</v>
      </c>
      <c r="O57" s="7">
        <f t="shared" si="7"/>
        <v>-16543.621307692309</v>
      </c>
      <c r="Q57" s="7">
        <f>IFERROR(+Q52-Q55, 0)</f>
        <v>-34118.232615384615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292</v>
      </c>
      <c r="C61" s="17"/>
      <c r="D61" s="7">
        <f t="shared" ref="D61:O61" si="9">IFERROR(SUM(D57:D60), 0)</f>
        <v>-2458.4299999999998</v>
      </c>
      <c r="E61" s="7">
        <f t="shared" si="9"/>
        <v>-36</v>
      </c>
      <c r="F61" s="7">
        <f t="shared" si="9"/>
        <v>-200</v>
      </c>
      <c r="G61" s="7">
        <f t="shared" si="9"/>
        <v>114</v>
      </c>
      <c r="H61" s="7">
        <f t="shared" si="9"/>
        <v>-361</v>
      </c>
      <c r="I61" s="7">
        <f t="shared" si="9"/>
        <v>-191.5</v>
      </c>
      <c r="J61" s="7">
        <f t="shared" si="9"/>
        <v>77.740000000000009</v>
      </c>
      <c r="K61" s="7">
        <f t="shared" si="9"/>
        <v>-47.55</v>
      </c>
      <c r="L61" s="7">
        <f t="shared" si="9"/>
        <v>-186</v>
      </c>
      <c r="M61" s="7">
        <f t="shared" si="9"/>
        <v>107.75</v>
      </c>
      <c r="N61" s="7">
        <f t="shared" si="9"/>
        <v>-14393.621307692309</v>
      </c>
      <c r="O61" s="7">
        <f t="shared" si="9"/>
        <v>-16543.621307692309</v>
      </c>
      <c r="Q61" s="7">
        <f>IFERROR(SUM(Q57:Q60), 0)</f>
        <v>-34118.232615384615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7">
        <v>44330.012769791669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13"/>
    </row>
    <row r="64" spans="1:17" x14ac:dyDescent="0.25">
      <c r="A64" s="5"/>
      <c r="B64" s="31" t="s">
        <v>54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Q64" s="13"/>
    </row>
    <row r="65" spans="1:17" x14ac:dyDescent="0.25">
      <c r="A65" s="5"/>
      <c r="B65" s="26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Q65" s="13"/>
    </row>
    <row r="66" spans="1:17" x14ac:dyDescent="0.25"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Q6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1212.8499999999999</v>
      </c>
      <c r="E17" s="14">
        <f>SUM(OSRRefD20x_1)</f>
        <v>771.89</v>
      </c>
      <c r="F17" s="14">
        <f>SUM(OSRRefD20x_2)</f>
        <v>555.02</v>
      </c>
      <c r="G17" s="14">
        <f>SUM(OSRRefD20x_3)</f>
        <v>278.25</v>
      </c>
      <c r="H17" s="14">
        <f>SUM(OSRRefD20x_4)</f>
        <v>479.29</v>
      </c>
      <c r="I17" s="14">
        <f>SUM(OSRRefD20x_5)</f>
        <v>483.29</v>
      </c>
      <c r="J17" s="14">
        <f>SUM(OSRRefD20x_6)</f>
        <v>479.29</v>
      </c>
      <c r="K17" s="14">
        <f>SUM(OSRRefD20x_7)</f>
        <v>680.33</v>
      </c>
      <c r="L17" s="14">
        <f>SUM(OSRRefD20x_8)</f>
        <v>934.29</v>
      </c>
      <c r="M17" s="14">
        <f>SUM(OSRRefD20x_9)</f>
        <v>479.29</v>
      </c>
      <c r="N17" s="14">
        <f>SUM(OSRRefE20x_0)</f>
        <v>479</v>
      </c>
      <c r="O17" s="14">
        <f>SUM(OSRRefE20x_1)</f>
        <v>479</v>
      </c>
      <c r="Q17" s="14">
        <f>SUM(OSRRefG20x)</f>
        <v>7311.7900000000009</v>
      </c>
    </row>
    <row r="18" spans="1:17" s="34" customFormat="1" collapsed="1" x14ac:dyDescent="0.25">
      <c r="A18" s="35"/>
      <c r="B18" s="11" t="str">
        <f>CONCATENATE("     ","Depreciation                                      ")</f>
        <v xml:space="preserve">     Depreciation                                      </v>
      </c>
      <c r="C18" s="11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SUM(OSRRefD21_0x_7)</f>
        <v>479.29</v>
      </c>
      <c r="L18" s="1">
        <f>SUM(OSRRefD21_0x_8)</f>
        <v>479.29</v>
      </c>
      <c r="M18" s="1">
        <f>SUM(OSRRefD21_0x_9)</f>
        <v>479.29</v>
      </c>
      <c r="N18" s="1">
        <f>SUM(OSRRefE21_0x_0)</f>
        <v>479</v>
      </c>
      <c r="O18" s="1">
        <f>SUM(OSRRefE21_0x_1)</f>
        <v>479</v>
      </c>
      <c r="Q18" s="2">
        <f>SUM(OSRRefD20_0x)+IFERROR(SUM(OSRRefE20_0x),0)</f>
        <v>5750.9000000000005</v>
      </c>
    </row>
    <row r="19" spans="1:17" s="34" customFormat="1" hidden="1" outlineLevel="1" x14ac:dyDescent="0.25">
      <c r="A19" s="35"/>
      <c r="B19" s="10" t="str">
        <f>CONCATENATE("          ","6322", " - ","EQUIPMENT DEPRECIATION EXPENSE")</f>
        <v xml:space="preserve">          6322 - EQUIPMENT DEPRECIATION EXPENSE</v>
      </c>
      <c r="C19" s="11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479.29</v>
      </c>
      <c r="L19" s="2">
        <v>479.29</v>
      </c>
      <c r="M19" s="2">
        <v>479.29</v>
      </c>
      <c r="N19" s="2">
        <v>479</v>
      </c>
      <c r="O19" s="2">
        <v>479</v>
      </c>
      <c r="P19" s="9"/>
      <c r="Q19" s="2">
        <f>SUM(OSRRefD21_0_0x)+IFERROR(SUM(OSRRefE21_0_0x),0)</f>
        <v>5750.9000000000005</v>
      </c>
    </row>
    <row r="20" spans="1:17" s="34" customFormat="1" collapsed="1" x14ac:dyDescent="0.25">
      <c r="A20" s="35"/>
      <c r="B20" s="11" t="str">
        <f>CONCATENATE("     ","General                                           ")</f>
        <v xml:space="preserve">     General                                           </v>
      </c>
      <c r="C20" s="11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SUM(OSRRefD21_1x_7)</f>
        <v>0</v>
      </c>
      <c r="L20" s="1">
        <f>SUM(OSRRefD21_1x_8)</f>
        <v>455</v>
      </c>
      <c r="M20" s="1">
        <f>SUM(OSRRefD21_1x_9)</f>
        <v>0</v>
      </c>
      <c r="N20" s="1">
        <f>SUM(OSRRefE21_1x_0)</f>
        <v>0</v>
      </c>
      <c r="O20" s="1">
        <f>SUM(OSRRefE21_1x_1)</f>
        <v>0</v>
      </c>
      <c r="Q20" s="2">
        <f>SUM(OSRRefD20_1x)+IFERROR(SUM(OSRRefE20_1x),0)</f>
        <v>978.55</v>
      </c>
    </row>
    <row r="21" spans="1:17" s="34" customFormat="1" hidden="1" outlineLevel="1" x14ac:dyDescent="0.25">
      <c r="A21" s="35"/>
      <c r="B21" s="10" t="str">
        <f>CONCATENATE("          ","6279", " - ","GENERAL EXPENSE")</f>
        <v xml:space="preserve">          6279 - GENERAL EXPENSE</v>
      </c>
      <c r="C21" s="11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>
        <v>455</v>
      </c>
      <c r="M21" s="2"/>
      <c r="N21" s="2"/>
      <c r="O21" s="2"/>
      <c r="P21" s="9"/>
      <c r="Q21" s="2">
        <f>SUM(OSRRefD21_1_0x)+IFERROR(SUM(OSRRefE21_1_0x),0)</f>
        <v>978.55</v>
      </c>
    </row>
    <row r="22" spans="1:17" s="34" customFormat="1" collapsed="1" x14ac:dyDescent="0.25">
      <c r="A22" s="35"/>
      <c r="B22" s="11" t="str">
        <f>CONCATENATE("     ","Repair and Maintenance                            ")</f>
        <v xml:space="preserve">     Repair and Maintenance                            </v>
      </c>
      <c r="C22" s="11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SUM(OSRRefE21_2x_0)</f>
        <v>0</v>
      </c>
      <c r="O22" s="1">
        <f>SUM(OSRRefE21_2x_1)</f>
        <v>0</v>
      </c>
      <c r="Q22" s="2">
        <f>SUM(OSRRefD20_2x)+IFERROR(SUM(OSRRefE20_2x),0)</f>
        <v>154.32999999999998</v>
      </c>
    </row>
    <row r="23" spans="1:17" s="34" customFormat="1" hidden="1" outlineLevel="1" x14ac:dyDescent="0.25">
      <c r="A23" s="35"/>
      <c r="B23" s="10" t="str">
        <f>CONCATENATE("          ","6373", " - ","MAINTENANCE CONTRACTS")</f>
        <v xml:space="preserve">          6373 - MAINTENANCE CONTRACTS</v>
      </c>
      <c r="C23" s="11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4" customFormat="1" collapsed="1" x14ac:dyDescent="0.25">
      <c r="A24" s="35"/>
      <c r="B24" s="11" t="str">
        <f>CONCATENATE("     ","Telephone/Data Lines                              ")</f>
        <v xml:space="preserve">     Telephone/Data Lines                              </v>
      </c>
      <c r="C24" s="11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SUM(OSRRefD21_3x_7)</f>
        <v>201.04</v>
      </c>
      <c r="L24" s="1">
        <f>SUM(OSRRefD21_3x_8)</f>
        <v>0</v>
      </c>
      <c r="M24" s="1">
        <f>SUM(OSRRefD21_3x_9)</f>
        <v>0</v>
      </c>
      <c r="N24" s="1">
        <f>SUM(OSRRefE21_3x_0)</f>
        <v>0</v>
      </c>
      <c r="O24" s="1">
        <f>SUM(OSRRefE21_3x_1)</f>
        <v>0</v>
      </c>
      <c r="Q24" s="2">
        <f>SUM(OSRRefD20_3x)+IFERROR(SUM(OSRRefE20_3x),0)</f>
        <v>428.01</v>
      </c>
    </row>
    <row r="25" spans="1:17" s="34" customFormat="1" hidden="1" outlineLevel="1" x14ac:dyDescent="0.25">
      <c r="A25" s="35"/>
      <c r="B25" s="10" t="str">
        <f>CONCATENATE("          ","6309", " - ","TELEPHONE")</f>
        <v xml:space="preserve">          6309 - TELEPHONE</v>
      </c>
      <c r="C25" s="11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>
        <v>201.04</v>
      </c>
      <c r="L25" s="2"/>
      <c r="M25" s="2"/>
      <c r="N25" s="2"/>
      <c r="O25" s="2"/>
      <c r="P25" s="9"/>
      <c r="Q25" s="2">
        <f>SUM(OSRRefD21_3_0x)+IFERROR(SUM(OSRRefE21_3_0x),0)</f>
        <v>428.01</v>
      </c>
    </row>
    <row r="26" spans="1:17" s="30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3"/>
      <c r="B27" s="16" t="s">
        <v>291</v>
      </c>
      <c r="C27" s="22"/>
      <c r="D27" s="3">
        <f t="shared" ref="D27:M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>
        <f t="shared" si="4"/>
        <v>0</v>
      </c>
      <c r="L27" s="3">
        <f t="shared" si="4"/>
        <v>0</v>
      </c>
      <c r="M27" s="3">
        <f t="shared" si="4"/>
        <v>0</v>
      </c>
      <c r="N27" s="3"/>
      <c r="O27" s="3"/>
      <c r="Q27" s="2">
        <f>SUM(OSRRefD23_0x)+IFERROR(SUM(OSRRefE23_0x),0)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274</v>
      </c>
      <c r="C29" s="17"/>
      <c r="D29" s="8">
        <f t="shared" ref="D29:O29" si="5">IFERROR(+D14-D17+D27, 0)</f>
        <v>-1212.8499999999999</v>
      </c>
      <c r="E29" s="8">
        <f t="shared" si="5"/>
        <v>-771.89</v>
      </c>
      <c r="F29" s="8">
        <f t="shared" si="5"/>
        <v>-555.02</v>
      </c>
      <c r="G29" s="8">
        <f t="shared" si="5"/>
        <v>-278.25</v>
      </c>
      <c r="H29" s="8">
        <f t="shared" si="5"/>
        <v>-479.29</v>
      </c>
      <c r="I29" s="8">
        <f t="shared" si="5"/>
        <v>-483.29</v>
      </c>
      <c r="J29" s="8">
        <f t="shared" si="5"/>
        <v>-479.29</v>
      </c>
      <c r="K29" s="8">
        <f t="shared" si="5"/>
        <v>-680.33</v>
      </c>
      <c r="L29" s="8">
        <f t="shared" si="5"/>
        <v>-934.29</v>
      </c>
      <c r="M29" s="8">
        <f t="shared" si="5"/>
        <v>-479.29</v>
      </c>
      <c r="N29" s="8">
        <f t="shared" si="5"/>
        <v>-479</v>
      </c>
      <c r="O29" s="8">
        <f t="shared" si="5"/>
        <v>-479</v>
      </c>
      <c r="Q29" s="8">
        <f>IFERROR(+Q14-Q17+Q27, 0)</f>
        <v>-7311.7900000000009</v>
      </c>
    </row>
    <row r="30" spans="1:17" s="6" customFormat="1" x14ac:dyDescent="0.2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2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25">
      <c r="A32" s="25"/>
      <c r="B32" s="6" t="s">
        <v>125</v>
      </c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2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124</v>
      </c>
      <c r="C34" s="17"/>
      <c r="D34" s="7">
        <f t="shared" ref="D34:O34" si="7">IFERROR(+D29-D32, 0)</f>
        <v>-1212.8499999999999</v>
      </c>
      <c r="E34" s="7">
        <f t="shared" si="7"/>
        <v>-771.89</v>
      </c>
      <c r="F34" s="7">
        <f t="shared" si="7"/>
        <v>-555.02</v>
      </c>
      <c r="G34" s="7">
        <f t="shared" si="7"/>
        <v>-278.25</v>
      </c>
      <c r="H34" s="7">
        <f t="shared" si="7"/>
        <v>-479.29</v>
      </c>
      <c r="I34" s="7">
        <f t="shared" si="7"/>
        <v>-483.29</v>
      </c>
      <c r="J34" s="7">
        <f t="shared" si="7"/>
        <v>-479.29</v>
      </c>
      <c r="K34" s="7">
        <f t="shared" si="7"/>
        <v>-680.33</v>
      </c>
      <c r="L34" s="7">
        <f t="shared" si="7"/>
        <v>-934.29</v>
      </c>
      <c r="M34" s="7">
        <f t="shared" si="7"/>
        <v>-479.29</v>
      </c>
      <c r="N34" s="7">
        <f t="shared" si="7"/>
        <v>-479</v>
      </c>
      <c r="O34" s="7">
        <f t="shared" si="7"/>
        <v>-479</v>
      </c>
      <c r="Q34" s="7">
        <f>IFERROR(+Q29-Q32, 0)</f>
        <v>-7311.7900000000009</v>
      </c>
    </row>
    <row r="35" spans="1:17" ht="15.75" thickTop="1" x14ac:dyDescent="0.2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292</v>
      </c>
      <c r="C38" s="17"/>
      <c r="D38" s="7">
        <f t="shared" ref="D38:O38" si="9">IFERROR(SUM(D34:D37), 0)</f>
        <v>-1212.8499999999999</v>
      </c>
      <c r="E38" s="7">
        <f t="shared" si="9"/>
        <v>-771.89</v>
      </c>
      <c r="F38" s="7">
        <f t="shared" si="9"/>
        <v>-555.02</v>
      </c>
      <c r="G38" s="7">
        <f t="shared" si="9"/>
        <v>-278.25</v>
      </c>
      <c r="H38" s="7">
        <f t="shared" si="9"/>
        <v>-479.29</v>
      </c>
      <c r="I38" s="7">
        <f t="shared" si="9"/>
        <v>-483.29</v>
      </c>
      <c r="J38" s="7">
        <f t="shared" si="9"/>
        <v>-479.29</v>
      </c>
      <c r="K38" s="7">
        <f t="shared" si="9"/>
        <v>-680.33</v>
      </c>
      <c r="L38" s="7">
        <f t="shared" si="9"/>
        <v>-934.29</v>
      </c>
      <c r="M38" s="7">
        <f t="shared" si="9"/>
        <v>-479.29</v>
      </c>
      <c r="N38" s="7">
        <f t="shared" si="9"/>
        <v>-479</v>
      </c>
      <c r="O38" s="7">
        <f t="shared" si="9"/>
        <v>-479</v>
      </c>
      <c r="Q38" s="7">
        <f>IFERROR(SUM(Q34:Q37), 0)</f>
        <v>-7311.7900000000009</v>
      </c>
    </row>
    <row r="39" spans="1:17" ht="15.75" thickTop="1" x14ac:dyDescent="0.2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25">
      <c r="A40" s="5"/>
      <c r="B40" s="27">
        <v>44330.012769791669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25">
      <c r="A41" s="5"/>
      <c r="B41" s="31" t="s">
        <v>54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25">
      <c r="A42" s="5"/>
      <c r="B42" s="26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25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5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3"/>
      <c r="B12" s="16" t="s">
        <v>217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-6593.4</v>
      </c>
      <c r="M12" s="3">
        <f>SUM(OSRRefD14x_9)</f>
        <v>0</v>
      </c>
      <c r="N12" s="3">
        <f>SUM(OSRRefE14x_0)</f>
        <v>0</v>
      </c>
      <c r="O12" s="3">
        <f>SUM(OSRRefE14x_1)</f>
        <v>0</v>
      </c>
      <c r="Q12" s="3">
        <f>SUM(OSRRefG14x)</f>
        <v>-6593.4</v>
      </c>
    </row>
    <row r="13" spans="1:18" s="9" customFormat="1" hidden="1" outlineLevel="1" x14ac:dyDescent="0.25">
      <c r="A13" s="23"/>
      <c r="B13" s="10" t="str">
        <f>CONCATENATE("          ","5053", " - ","PURCHASES @ COST-FOOD")</f>
        <v xml:space="preserve">          5053 - PURCHASES @ COST-FOOD</v>
      </c>
      <c r="C13" s="22"/>
      <c r="D13" s="2"/>
      <c r="E13" s="2"/>
      <c r="F13" s="2"/>
      <c r="G13" s="2"/>
      <c r="H13" s="2"/>
      <c r="I13" s="2"/>
      <c r="J13" s="2"/>
      <c r="K13" s="2"/>
      <c r="L13" s="2">
        <v>-6593.4</v>
      </c>
      <c r="M13" s="2"/>
      <c r="N13" s="2"/>
      <c r="O13" s="2"/>
      <c r="Q13" s="2">
        <f>SUM(OSRRefD14_0x)+IFERROR(SUM(OSRRefE14_0x),0)</f>
        <v>-6593.4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6593.4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6593.4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254</v>
      </c>
      <c r="C18" s="6"/>
      <c r="D18" s="14">
        <f>SUM(OSRRefD20x_0)</f>
        <v>3855.2699999999995</v>
      </c>
      <c r="E18" s="14">
        <f>SUM(OSRRefD20x_1)</f>
        <v>1292.71</v>
      </c>
      <c r="F18" s="14">
        <f>SUM(OSRRefD20x_2)</f>
        <v>1000.91</v>
      </c>
      <c r="G18" s="14">
        <f>SUM(OSRRefD20x_3)</f>
        <v>1021.4499999999999</v>
      </c>
      <c r="H18" s="14">
        <f>SUM(OSRRefD20x_4)</f>
        <v>1462.8899999999999</v>
      </c>
      <c r="I18" s="14">
        <f>SUM(OSRRefD20x_5)</f>
        <v>1000.91</v>
      </c>
      <c r="J18" s="14">
        <f>SUM(OSRRefD20x_6)</f>
        <v>1000.91</v>
      </c>
      <c r="K18" s="14">
        <f>SUM(OSRRefD20x_7)</f>
        <v>1000.91</v>
      </c>
      <c r="L18" s="14">
        <f>SUM(OSRRefD20x_8)</f>
        <v>1000.91</v>
      </c>
      <c r="M18" s="14">
        <f>SUM(OSRRefD20x_9)</f>
        <v>1000.91</v>
      </c>
      <c r="N18" s="14">
        <f>SUM(OSRRefE20x_0)</f>
        <v>1001</v>
      </c>
      <c r="O18" s="14">
        <f>SUM(OSRRefE20x_1)</f>
        <v>1001</v>
      </c>
      <c r="Q18" s="14">
        <f>SUM(OSRRefG20x)</f>
        <v>15639.78</v>
      </c>
    </row>
    <row r="19" spans="1:17" s="34" customFormat="1" collapsed="1" x14ac:dyDescent="0.25">
      <c r="A19" s="35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1419.75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0.75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SUM(OSRRefE21_0x_0)</f>
        <v>0</v>
      </c>
      <c r="O19" s="1">
        <f>SUM(OSRRefE21_0x_1)</f>
        <v>0</v>
      </c>
      <c r="Q19" s="2">
        <f>SUM(OSRRefD20_0x)+IFERROR(SUM(OSRRefE20_0x),0)</f>
        <v>1420.5</v>
      </c>
    </row>
    <row r="20" spans="1:17" s="34" customFormat="1" hidden="1" outlineLevel="1" x14ac:dyDescent="0.25">
      <c r="A20" s="35"/>
      <c r="B20" s="10" t="str">
        <f>CONCATENATE("          ","6111", " - ","F.I.C.A.")</f>
        <v xml:space="preserve">          6111 - F.I.C.A.</v>
      </c>
      <c r="C20" s="11"/>
      <c r="D20" s="2">
        <v>170.79</v>
      </c>
      <c r="E20" s="2"/>
      <c r="F20" s="2"/>
      <c r="G20" s="2"/>
      <c r="H20" s="2">
        <v>0.75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171.54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699.3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SUM(OSRRefD21_0_1x)+IFERROR(SUM(OSRRefE21_0_1x),0)</f>
        <v>699.3</v>
      </c>
    </row>
    <row r="22" spans="1:17" s="34" customFormat="1" hidden="1" outlineLevel="1" x14ac:dyDescent="0.25">
      <c r="A22" s="35"/>
      <c r="B22" s="10" t="str">
        <f>CONCATENATE("          ","6115", " - ","P.E.R.S.")</f>
        <v xml:space="preserve">          6115 - P.E.R.S.</v>
      </c>
      <c r="C22" s="11"/>
      <c r="D22" s="2">
        <v>355.22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SUM(OSRRefD21_0_2x)+IFERROR(SUM(OSRRefE21_0_2x),0)</f>
        <v>355.22</v>
      </c>
    </row>
    <row r="23" spans="1:17" s="34" customFormat="1" hidden="1" outlineLevel="1" x14ac:dyDescent="0.25">
      <c r="A23" s="35"/>
      <c r="B23" s="10" t="str">
        <f>CONCATENATE("          ","6118", " - ","VACATION")</f>
        <v xml:space="preserve">          6118 - VACATION</v>
      </c>
      <c r="C23" s="11"/>
      <c r="D23" s="2">
        <v>88.46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SUM(OSRRefD21_0_3x)+IFERROR(SUM(OSRRefE21_0_3x),0)</f>
        <v>88.46</v>
      </c>
    </row>
    <row r="24" spans="1:17" s="34" customFormat="1" hidden="1" outlineLevel="1" x14ac:dyDescent="0.25">
      <c r="A24" s="35"/>
      <c r="B24" s="10" t="str">
        <f>CONCATENATE("          ","6119", " - ","SICK LEAVE")</f>
        <v xml:space="preserve">          6119 - SICK LEAVE</v>
      </c>
      <c r="C24" s="11"/>
      <c r="D24" s="2">
        <v>105.98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9"/>
      <c r="Q24" s="2">
        <f>SUM(OSRRefD21_0_4x)+IFERROR(SUM(OSRRefE21_0_4x),0)</f>
        <v>105.98</v>
      </c>
    </row>
    <row r="25" spans="1:17" s="34" customFormat="1" collapsed="1" x14ac:dyDescent="0.25">
      <c r="A25" s="35"/>
      <c r="B25" s="11" t="str">
        <f>CONCATENATE("     ","*Payroll                                          ")</f>
        <v xml:space="preserve">     *Payroll                                          </v>
      </c>
      <c r="C25" s="11"/>
      <c r="D25" s="1">
        <f>SUM(OSRRefD21_1x_0)</f>
        <v>1378.61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SUM(OSRRefD21_1x_9)</f>
        <v>0</v>
      </c>
      <c r="N25" s="1">
        <f>SUM(OSRRefE21_1x_0)</f>
        <v>0</v>
      </c>
      <c r="O25" s="1">
        <f>SUM(OSRRefE21_1x_1)</f>
        <v>0</v>
      </c>
      <c r="Q25" s="2">
        <f>SUM(OSRRefD20_1x)+IFERROR(SUM(OSRRefE20_1x),0)</f>
        <v>1378.61</v>
      </c>
    </row>
    <row r="26" spans="1:17" s="34" customFormat="1" hidden="1" outlineLevel="1" x14ac:dyDescent="0.25">
      <c r="A26" s="35"/>
      <c r="B26" s="10" t="str">
        <f>CONCATENATE("          ","6002", " - ","STAFF SALARIES")</f>
        <v xml:space="preserve">          6002 - STAFF SALARIES</v>
      </c>
      <c r="C26" s="11"/>
      <c r="D26" s="2">
        <v>1378.61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SUM(OSRRefD21_1_0x)+IFERROR(SUM(OSRRefE21_1_0x),0)</f>
        <v>1378.61</v>
      </c>
    </row>
    <row r="27" spans="1:17" s="34" customFormat="1" collapsed="1" x14ac:dyDescent="0.25">
      <c r="A27" s="35"/>
      <c r="B27" s="11" t="str">
        <f>CONCATENATE("     ","Depreciation                                      ")</f>
        <v xml:space="preserve">     Depreciation                                      </v>
      </c>
      <c r="C27" s="11"/>
      <c r="D27" s="1">
        <f>SUM(OSRRefD21_2x_0)</f>
        <v>1000.91</v>
      </c>
      <c r="E27" s="1">
        <f>SUM(OSRRefD21_2x_1)</f>
        <v>1000.91</v>
      </c>
      <c r="F27" s="1">
        <f>SUM(OSRRefD21_2x_2)</f>
        <v>1000.91</v>
      </c>
      <c r="G27" s="1">
        <f>SUM(OSRRefD21_2x_3)</f>
        <v>1000.91</v>
      </c>
      <c r="H27" s="1">
        <f>SUM(OSRRefD21_2x_4)</f>
        <v>1000.91</v>
      </c>
      <c r="I27" s="1">
        <f>SUM(OSRRefD21_2x_5)</f>
        <v>1000.91</v>
      </c>
      <c r="J27" s="1">
        <f>SUM(OSRRefD21_2x_6)</f>
        <v>1000.91</v>
      </c>
      <c r="K27" s="1">
        <f>SUM(OSRRefD21_2x_7)</f>
        <v>1000.91</v>
      </c>
      <c r="L27" s="1">
        <f>SUM(OSRRefD21_2x_8)</f>
        <v>1000.91</v>
      </c>
      <c r="M27" s="1">
        <f>SUM(OSRRefD21_2x_9)</f>
        <v>1000.91</v>
      </c>
      <c r="N27" s="1">
        <f>SUM(OSRRefE21_2x_0)</f>
        <v>1001</v>
      </c>
      <c r="O27" s="1">
        <f>SUM(OSRRefE21_2x_1)</f>
        <v>1001</v>
      </c>
      <c r="Q27" s="2">
        <f>SUM(OSRRefD20_2x)+IFERROR(SUM(OSRRefE20_2x),0)</f>
        <v>12011.1</v>
      </c>
    </row>
    <row r="28" spans="1:17" s="34" customFormat="1" hidden="1" outlineLevel="1" x14ac:dyDescent="0.25">
      <c r="A28" s="35"/>
      <c r="B28" s="10" t="str">
        <f>CONCATENATE("          ","6322", " - ","EQUIPMENT DEPRECIATION EXPENSE")</f>
        <v xml:space="preserve">          6322 - EQUIPMENT DEPRECIATION EXPENSE</v>
      </c>
      <c r="C28" s="11"/>
      <c r="D28" s="2">
        <v>1000.91</v>
      </c>
      <c r="E28" s="2">
        <v>1000.91</v>
      </c>
      <c r="F28" s="2">
        <v>1000.91</v>
      </c>
      <c r="G28" s="2">
        <v>1000.91</v>
      </c>
      <c r="H28" s="2">
        <v>1000.91</v>
      </c>
      <c r="I28" s="2">
        <v>1000.91</v>
      </c>
      <c r="J28" s="2">
        <v>1000.91</v>
      </c>
      <c r="K28" s="2">
        <v>1000.91</v>
      </c>
      <c r="L28" s="2">
        <v>1000.91</v>
      </c>
      <c r="M28" s="2">
        <v>1000.91</v>
      </c>
      <c r="N28" s="2">
        <v>1001</v>
      </c>
      <c r="O28" s="2">
        <v>1001</v>
      </c>
      <c r="P28" s="9"/>
      <c r="Q28" s="2">
        <f>SUM(OSRRefD21_2_0x)+IFERROR(SUM(OSRRefE21_2_0x),0)</f>
        <v>12011.1</v>
      </c>
    </row>
    <row r="29" spans="1:17" s="34" customFormat="1" collapsed="1" x14ac:dyDescent="0.25">
      <c r="A29" s="35"/>
      <c r="B29" s="11" t="str">
        <f>CONCATENATE("     ","General                                           ")</f>
        <v xml:space="preserve">     General                                           </v>
      </c>
      <c r="C29" s="11"/>
      <c r="D29" s="1">
        <f>SUM(OSRRefD21_3x_0)</f>
        <v>0</v>
      </c>
      <c r="E29" s="1">
        <f>SUM(OSRRefD21_3x_1)</f>
        <v>0</v>
      </c>
      <c r="F29" s="1">
        <f>SUM(OSRRefD21_3x_2)</f>
        <v>0</v>
      </c>
      <c r="G29" s="1">
        <f>SUM(OSRRefD21_3x_3)</f>
        <v>0</v>
      </c>
      <c r="H29" s="1">
        <f>SUM(OSRRefD21_3x_4)</f>
        <v>455</v>
      </c>
      <c r="I29" s="1">
        <f>SUM(OSRRefD21_3x_5)</f>
        <v>0</v>
      </c>
      <c r="J29" s="1">
        <f>SUM(OSRRefD21_3x_6)</f>
        <v>0</v>
      </c>
      <c r="K29" s="1">
        <f>SUM(OSRRefD21_3x_7)</f>
        <v>0</v>
      </c>
      <c r="L29" s="1">
        <f>SUM(OSRRefD21_3x_8)</f>
        <v>0</v>
      </c>
      <c r="M29" s="1">
        <f>SUM(OSRRefD21_3x_9)</f>
        <v>0</v>
      </c>
      <c r="N29" s="1">
        <f>SUM(OSRRefE21_3x_0)</f>
        <v>0</v>
      </c>
      <c r="O29" s="1">
        <f>SUM(OSRRefE21_3x_1)</f>
        <v>0</v>
      </c>
      <c r="Q29" s="2">
        <f>SUM(OSRRefD20_3x)+IFERROR(SUM(OSRRefE20_3x),0)</f>
        <v>455</v>
      </c>
    </row>
    <row r="30" spans="1:17" s="34" customFormat="1" hidden="1" outlineLevel="1" x14ac:dyDescent="0.25">
      <c r="A30" s="35"/>
      <c r="B30" s="10" t="str">
        <f>CONCATENATE("          ","6279", " - ","GENERAL EXPENSE")</f>
        <v xml:space="preserve">          6279 - GENERAL EXPENSE</v>
      </c>
      <c r="C30" s="11"/>
      <c r="D30" s="2"/>
      <c r="E30" s="2"/>
      <c r="F30" s="2"/>
      <c r="G30" s="2"/>
      <c r="H30" s="2">
        <v>455</v>
      </c>
      <c r="I30" s="2"/>
      <c r="J30" s="2"/>
      <c r="K30" s="2"/>
      <c r="L30" s="2"/>
      <c r="M30" s="2"/>
      <c r="N30" s="2"/>
      <c r="O30" s="2"/>
      <c r="P30" s="9"/>
      <c r="Q30" s="2">
        <f>SUM(OSRRefD21_3_0x)+IFERROR(SUM(OSRRefE21_3_0x),0)</f>
        <v>455</v>
      </c>
    </row>
    <row r="31" spans="1:17" s="34" customFormat="1" collapsed="1" x14ac:dyDescent="0.25">
      <c r="A31" s="35"/>
      <c r="B31" s="11" t="str">
        <f>CONCATENATE("     ","Repair and Maintenance                            ")</f>
        <v xml:space="preserve">     Repair and Maintenance                            </v>
      </c>
      <c r="C31" s="11"/>
      <c r="D31" s="1">
        <f>SUM(OSRRefD21_4x_0)</f>
        <v>0</v>
      </c>
      <c r="E31" s="1">
        <f>SUM(OSRRefD21_4x_1)</f>
        <v>235.8</v>
      </c>
      <c r="F31" s="1">
        <f>SUM(OSRRefD21_4x_2)</f>
        <v>0</v>
      </c>
      <c r="G31" s="1">
        <f>SUM(OSRRefD21_4x_3)</f>
        <v>0</v>
      </c>
      <c r="H31" s="1">
        <f>SUM(OSRRefD21_4x_4)</f>
        <v>6.23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SUM(OSRRefD21_4x_9)</f>
        <v>0</v>
      </c>
      <c r="N31" s="1">
        <f>SUM(OSRRefE21_4x_0)</f>
        <v>0</v>
      </c>
      <c r="O31" s="1">
        <f>SUM(OSRRefE21_4x_1)</f>
        <v>0</v>
      </c>
      <c r="Q31" s="2">
        <f>SUM(OSRRefD20_4x)+IFERROR(SUM(OSRRefE20_4x),0)</f>
        <v>242.03</v>
      </c>
    </row>
    <row r="32" spans="1:17" s="34" customFormat="1" hidden="1" outlineLevel="1" x14ac:dyDescent="0.25">
      <c r="A32" s="35"/>
      <c r="B32" s="10" t="str">
        <f>CONCATENATE("          ","6373", " - ","MAINTENANCE CONTRACTS")</f>
        <v xml:space="preserve">          6373 - MAINTENANCE CONTRACTS</v>
      </c>
      <c r="C32" s="11"/>
      <c r="D32" s="2"/>
      <c r="E32" s="2">
        <v>235.8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SUM(OSRRefD21_4_0x)+IFERROR(SUM(OSRRefE21_4_0x),0)</f>
        <v>235.8</v>
      </c>
    </row>
    <row r="33" spans="1:17" s="34" customFormat="1" hidden="1" outlineLevel="1" x14ac:dyDescent="0.25">
      <c r="A33" s="35"/>
      <c r="B33" s="10" t="str">
        <f>CONCATENATE("          ","6375", " - ","OUTSIDE REPAIRS &amp; MAINTENANCE")</f>
        <v xml:space="preserve">          6375 - OUTSIDE REPAIRS &amp; MAINTENANCE</v>
      </c>
      <c r="C33" s="11"/>
      <c r="D33" s="2"/>
      <c r="E33" s="2"/>
      <c r="F33" s="2"/>
      <c r="G33" s="2"/>
      <c r="H33" s="2">
        <v>6.23</v>
      </c>
      <c r="I33" s="2"/>
      <c r="J33" s="2"/>
      <c r="K33" s="2"/>
      <c r="L33" s="2"/>
      <c r="M33" s="2"/>
      <c r="N33" s="2"/>
      <c r="O33" s="2"/>
      <c r="P33" s="9"/>
      <c r="Q33" s="2">
        <f>SUM(OSRRefD21_4_1x)+IFERROR(SUM(OSRRefE21_4_1x),0)</f>
        <v>6.23</v>
      </c>
    </row>
    <row r="34" spans="1:17" s="34" customFormat="1" collapsed="1" x14ac:dyDescent="0.25">
      <c r="A34" s="35"/>
      <c r="B34" s="11" t="str">
        <f>CONCATENATE("     ","Telephone/Data Lines                              ")</f>
        <v xml:space="preserve">     Telephone/Data Lines                              </v>
      </c>
      <c r="C34" s="11"/>
      <c r="D34" s="1">
        <f>SUM(OSRRefD21_5x_0)</f>
        <v>56</v>
      </c>
      <c r="E34" s="1">
        <f>SUM(OSRRefD21_5x_1)</f>
        <v>56</v>
      </c>
      <c r="F34" s="1">
        <f>SUM(OSRRefD21_5x_2)</f>
        <v>0</v>
      </c>
      <c r="G34" s="1">
        <f>SUM(OSRRefD21_5x_3)</f>
        <v>20.54</v>
      </c>
      <c r="H34" s="1">
        <f>SUM(OSRRefD21_5x_4)</f>
        <v>0</v>
      </c>
      <c r="I34" s="1">
        <f>SUM(OSRRefD21_5x_5)</f>
        <v>0</v>
      </c>
      <c r="J34" s="1">
        <f>SUM(OSRRefD21_5x_6)</f>
        <v>0</v>
      </c>
      <c r="K34" s="1">
        <f>SUM(OSRRefD21_5x_7)</f>
        <v>0</v>
      </c>
      <c r="L34" s="1">
        <f>SUM(OSRRefD21_5x_8)</f>
        <v>0</v>
      </c>
      <c r="M34" s="1">
        <f>SUM(OSRRefD21_5x_9)</f>
        <v>0</v>
      </c>
      <c r="N34" s="1">
        <f>SUM(OSRRefE21_5x_0)</f>
        <v>0</v>
      </c>
      <c r="O34" s="1">
        <f>SUM(OSRRefE21_5x_1)</f>
        <v>0</v>
      </c>
      <c r="Q34" s="2">
        <f>SUM(OSRRefD20_5x)+IFERROR(SUM(OSRRefE20_5x),0)</f>
        <v>132.54</v>
      </c>
    </row>
    <row r="35" spans="1:17" s="34" customFormat="1" hidden="1" outlineLevel="1" x14ac:dyDescent="0.25">
      <c r="A35" s="35"/>
      <c r="B35" s="10" t="str">
        <f>CONCATENATE("          ","6309", " - ","TELEPHONE")</f>
        <v xml:space="preserve">          6309 - TELEPHONE</v>
      </c>
      <c r="C35" s="11"/>
      <c r="D35" s="2">
        <v>56</v>
      </c>
      <c r="E35" s="2">
        <v>56</v>
      </c>
      <c r="F35" s="2"/>
      <c r="G35" s="2">
        <v>20.54</v>
      </c>
      <c r="H35" s="2"/>
      <c r="I35" s="2"/>
      <c r="J35" s="2"/>
      <c r="K35" s="2"/>
      <c r="L35" s="2"/>
      <c r="M35" s="2"/>
      <c r="N35" s="2"/>
      <c r="O35" s="2"/>
      <c r="P35" s="9"/>
      <c r="Q35" s="2">
        <f>SUM(OSRRefD21_5_0x)+IFERROR(SUM(OSRRefE21_5_0x),0)</f>
        <v>132.54</v>
      </c>
    </row>
    <row r="36" spans="1:17" s="30" customFormat="1" x14ac:dyDescent="0.25">
      <c r="A36" s="21"/>
      <c r="B36" s="21"/>
      <c r="C36" s="2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Q36" s="1"/>
    </row>
    <row r="37" spans="1:17" s="9" customFormat="1" x14ac:dyDescent="0.25">
      <c r="A37" s="23"/>
      <c r="B37" s="16" t="s">
        <v>291</v>
      </c>
      <c r="C37" s="22"/>
      <c r="D37" s="3">
        <f t="shared" ref="D37:M37" si="3">0</f>
        <v>0</v>
      </c>
      <c r="E37" s="3">
        <f t="shared" si="3"/>
        <v>0</v>
      </c>
      <c r="F37" s="3">
        <f t="shared" si="3"/>
        <v>0</v>
      </c>
      <c r="G37" s="3">
        <f t="shared" si="3"/>
        <v>0</v>
      </c>
      <c r="H37" s="3">
        <f t="shared" si="3"/>
        <v>0</v>
      </c>
      <c r="I37" s="3">
        <f t="shared" si="3"/>
        <v>0</v>
      </c>
      <c r="J37" s="3">
        <f t="shared" si="3"/>
        <v>0</v>
      </c>
      <c r="K37" s="3">
        <f t="shared" si="3"/>
        <v>0</v>
      </c>
      <c r="L37" s="3">
        <f t="shared" si="3"/>
        <v>0</v>
      </c>
      <c r="M37" s="3">
        <f t="shared" si="3"/>
        <v>0</v>
      </c>
      <c r="N37" s="3"/>
      <c r="O37" s="3"/>
      <c r="Q37" s="2">
        <f>SUM(OSRRefD23_0x)+IFERROR(SUM(OSRRefE23_0x),0)</f>
        <v>0</v>
      </c>
    </row>
    <row r="38" spans="1:17" x14ac:dyDescent="0.25">
      <c r="A38" s="5"/>
      <c r="B38" s="6"/>
      <c r="C38" s="6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x14ac:dyDescent="0.25">
      <c r="A39" s="6"/>
      <c r="B39" s="17" t="s">
        <v>274</v>
      </c>
      <c r="C39" s="17"/>
      <c r="D39" s="8">
        <f t="shared" ref="D39:O39" si="4">IFERROR(+D15-D18+D37, 0)</f>
        <v>-3855.2699999999995</v>
      </c>
      <c r="E39" s="8">
        <f t="shared" si="4"/>
        <v>-1292.71</v>
      </c>
      <c r="F39" s="8">
        <f t="shared" si="4"/>
        <v>-1000.91</v>
      </c>
      <c r="G39" s="8">
        <f t="shared" si="4"/>
        <v>-1021.4499999999999</v>
      </c>
      <c r="H39" s="8">
        <f t="shared" si="4"/>
        <v>-1462.8899999999999</v>
      </c>
      <c r="I39" s="8">
        <f t="shared" si="4"/>
        <v>-1000.91</v>
      </c>
      <c r="J39" s="8">
        <f t="shared" si="4"/>
        <v>-1000.91</v>
      </c>
      <c r="K39" s="8">
        <f t="shared" si="4"/>
        <v>-1000.91</v>
      </c>
      <c r="L39" s="8">
        <f t="shared" si="4"/>
        <v>5592.49</v>
      </c>
      <c r="M39" s="8">
        <f t="shared" si="4"/>
        <v>-1000.91</v>
      </c>
      <c r="N39" s="8">
        <f t="shared" si="4"/>
        <v>-1001</v>
      </c>
      <c r="O39" s="8">
        <f t="shared" si="4"/>
        <v>-1001</v>
      </c>
      <c r="Q39" s="8">
        <f>IFERROR(+Q15-Q18+Q37, 0)</f>
        <v>-9046.380000000001</v>
      </c>
    </row>
    <row r="40" spans="1:17" s="6" customFormat="1" x14ac:dyDescent="0.25">
      <c r="B40" s="16"/>
      <c r="C40" s="16"/>
      <c r="D40" s="4">
        <f t="shared" ref="D40:O40" si="5">IFERROR(D39/D10, 0)</f>
        <v>0</v>
      </c>
      <c r="E40" s="4">
        <f t="shared" si="5"/>
        <v>0</v>
      </c>
      <c r="F40" s="4">
        <f t="shared" si="5"/>
        <v>0</v>
      </c>
      <c r="G40" s="4">
        <f t="shared" si="5"/>
        <v>0</v>
      </c>
      <c r="H40" s="4">
        <f t="shared" si="5"/>
        <v>0</v>
      </c>
      <c r="I40" s="4">
        <f t="shared" si="5"/>
        <v>0</v>
      </c>
      <c r="J40" s="4">
        <f t="shared" si="5"/>
        <v>0</v>
      </c>
      <c r="K40" s="4">
        <f t="shared" si="5"/>
        <v>0</v>
      </c>
      <c r="L40" s="4">
        <f t="shared" si="5"/>
        <v>0</v>
      </c>
      <c r="M40" s="4">
        <f t="shared" si="5"/>
        <v>0</v>
      </c>
      <c r="N40" s="4">
        <f t="shared" si="5"/>
        <v>0</v>
      </c>
      <c r="O40" s="4">
        <f t="shared" si="5"/>
        <v>0</v>
      </c>
      <c r="P40" s="18"/>
      <c r="Q40" s="4">
        <f>IFERROR(Q39/Q10, 0)</f>
        <v>0</v>
      </c>
    </row>
    <row r="41" spans="1:17" x14ac:dyDescent="0.25">
      <c r="A41" s="5"/>
      <c r="B41" s="6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x14ac:dyDescent="0.25">
      <c r="A42" s="25"/>
      <c r="B42" s="6" t="s">
        <v>125</v>
      </c>
      <c r="C42" s="6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2">
        <f>SUM(OSRRefD28_0x)+IFERROR(SUM(OSRRefE28_0x),0)</f>
        <v>0</v>
      </c>
    </row>
    <row r="43" spans="1:17" x14ac:dyDescent="0.25">
      <c r="A43" s="5"/>
      <c r="B43" s="6"/>
      <c r="C43" s="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5" customFormat="1" ht="15.75" thickBot="1" x14ac:dyDescent="0.3">
      <c r="A44" s="6"/>
      <c r="B44" s="17" t="s">
        <v>124</v>
      </c>
      <c r="C44" s="17"/>
      <c r="D44" s="7">
        <f t="shared" ref="D44:O44" si="6">IFERROR(+D39-D42, 0)</f>
        <v>-3855.2699999999995</v>
      </c>
      <c r="E44" s="7">
        <f t="shared" si="6"/>
        <v>-1292.71</v>
      </c>
      <c r="F44" s="7">
        <f t="shared" si="6"/>
        <v>-1000.91</v>
      </c>
      <c r="G44" s="7">
        <f t="shared" si="6"/>
        <v>-1021.4499999999999</v>
      </c>
      <c r="H44" s="7">
        <f t="shared" si="6"/>
        <v>-1462.8899999999999</v>
      </c>
      <c r="I44" s="7">
        <f t="shared" si="6"/>
        <v>-1000.91</v>
      </c>
      <c r="J44" s="7">
        <f t="shared" si="6"/>
        <v>-1000.91</v>
      </c>
      <c r="K44" s="7">
        <f t="shared" si="6"/>
        <v>-1000.91</v>
      </c>
      <c r="L44" s="7">
        <f t="shared" si="6"/>
        <v>5592.49</v>
      </c>
      <c r="M44" s="7">
        <f t="shared" si="6"/>
        <v>-1000.91</v>
      </c>
      <c r="N44" s="7">
        <f t="shared" si="6"/>
        <v>-1001</v>
      </c>
      <c r="O44" s="7">
        <f t="shared" si="6"/>
        <v>-1001</v>
      </c>
      <c r="Q44" s="7">
        <f>IFERROR(+Q39-Q42, 0)</f>
        <v>-9046.380000000001</v>
      </c>
    </row>
    <row r="45" spans="1:17" ht="15.75" thickTop="1" x14ac:dyDescent="0.25">
      <c r="A45" s="5"/>
      <c r="B45" s="5"/>
      <c r="C45" s="5"/>
      <c r="D45" s="4">
        <f t="shared" ref="D45:O45" si="7">IFERROR(D44/D10, 0)</f>
        <v>0</v>
      </c>
      <c r="E45" s="4">
        <f t="shared" si="7"/>
        <v>0</v>
      </c>
      <c r="F45" s="4">
        <f t="shared" si="7"/>
        <v>0</v>
      </c>
      <c r="G45" s="4">
        <f t="shared" si="7"/>
        <v>0</v>
      </c>
      <c r="H45" s="4">
        <f t="shared" si="7"/>
        <v>0</v>
      </c>
      <c r="I45" s="4">
        <f t="shared" si="7"/>
        <v>0</v>
      </c>
      <c r="J45" s="4">
        <f t="shared" si="7"/>
        <v>0</v>
      </c>
      <c r="K45" s="4">
        <f t="shared" si="7"/>
        <v>0</v>
      </c>
      <c r="L45" s="4">
        <f t="shared" si="7"/>
        <v>0</v>
      </c>
      <c r="M45" s="4">
        <f t="shared" si="7"/>
        <v>0</v>
      </c>
      <c r="N45" s="4">
        <f t="shared" si="7"/>
        <v>0</v>
      </c>
      <c r="O45" s="4">
        <f t="shared" si="7"/>
        <v>0</v>
      </c>
      <c r="P45" s="18"/>
      <c r="Q45" s="4">
        <f>IFERROR(Q44/Q10, 0)</f>
        <v>0</v>
      </c>
    </row>
    <row r="46" spans="1:17" x14ac:dyDescent="0.2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x14ac:dyDescent="0.25">
      <c r="A47" s="5"/>
      <c r="B47" s="5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ht="15.75" thickBot="1" x14ac:dyDescent="0.3">
      <c r="A48" s="6"/>
      <c r="B48" s="17" t="s">
        <v>292</v>
      </c>
      <c r="C48" s="17"/>
      <c r="D48" s="7">
        <f t="shared" ref="D48:O48" si="8">IFERROR(SUM(D44:D47), 0)</f>
        <v>-3855.2699999999995</v>
      </c>
      <c r="E48" s="7">
        <f t="shared" si="8"/>
        <v>-1292.71</v>
      </c>
      <c r="F48" s="7">
        <f t="shared" si="8"/>
        <v>-1000.91</v>
      </c>
      <c r="G48" s="7">
        <f t="shared" si="8"/>
        <v>-1021.4499999999999</v>
      </c>
      <c r="H48" s="7">
        <f t="shared" si="8"/>
        <v>-1462.8899999999999</v>
      </c>
      <c r="I48" s="7">
        <f t="shared" si="8"/>
        <v>-1000.91</v>
      </c>
      <c r="J48" s="7">
        <f t="shared" si="8"/>
        <v>-1000.91</v>
      </c>
      <c r="K48" s="7">
        <f t="shared" si="8"/>
        <v>-1000.91</v>
      </c>
      <c r="L48" s="7">
        <f t="shared" si="8"/>
        <v>5592.49</v>
      </c>
      <c r="M48" s="7">
        <f t="shared" si="8"/>
        <v>-1000.91</v>
      </c>
      <c r="N48" s="7">
        <f t="shared" si="8"/>
        <v>-1001</v>
      </c>
      <c r="O48" s="7">
        <f t="shared" si="8"/>
        <v>-1001</v>
      </c>
      <c r="Q48" s="7">
        <f>IFERROR(SUM(Q44:Q47), 0)</f>
        <v>-9046.380000000001</v>
      </c>
    </row>
    <row r="49" spans="1:17" ht="15.75" thickTop="1" x14ac:dyDescent="0.25">
      <c r="A49" s="5"/>
      <c r="C49" s="5"/>
      <c r="D49" s="4">
        <f t="shared" ref="D49:O49" si="9">IFERROR(D48/D10, 0)</f>
        <v>0</v>
      </c>
      <c r="E49" s="4">
        <f t="shared" si="9"/>
        <v>0</v>
      </c>
      <c r="F49" s="4">
        <f t="shared" si="9"/>
        <v>0</v>
      </c>
      <c r="G49" s="4">
        <f t="shared" si="9"/>
        <v>0</v>
      </c>
      <c r="H49" s="4">
        <f t="shared" si="9"/>
        <v>0</v>
      </c>
      <c r="I49" s="4">
        <f t="shared" si="9"/>
        <v>0</v>
      </c>
      <c r="J49" s="4">
        <f t="shared" si="9"/>
        <v>0</v>
      </c>
      <c r="K49" s="4">
        <f t="shared" si="9"/>
        <v>0</v>
      </c>
      <c r="L49" s="4">
        <f t="shared" si="9"/>
        <v>0</v>
      </c>
      <c r="M49" s="4">
        <f t="shared" si="9"/>
        <v>0</v>
      </c>
      <c r="N49" s="4">
        <f t="shared" si="9"/>
        <v>0</v>
      </c>
      <c r="O49" s="4">
        <f t="shared" si="9"/>
        <v>0</v>
      </c>
      <c r="P49" s="18"/>
      <c r="Q49" s="4">
        <f>IFERROR(Q48/Q10, 0)</f>
        <v>0</v>
      </c>
    </row>
    <row r="50" spans="1:17" x14ac:dyDescent="0.25">
      <c r="A50" s="5"/>
      <c r="B50" s="27">
        <v>44330.012769791669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Q50" s="13"/>
    </row>
    <row r="51" spans="1:17" x14ac:dyDescent="0.25">
      <c r="A51" s="5"/>
      <c r="B51" s="31" t="s">
        <v>54</v>
      </c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Q51" s="13"/>
    </row>
    <row r="52" spans="1:17" x14ac:dyDescent="0.25">
      <c r="A52" s="5"/>
      <c r="B52" s="26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Q52" s="13"/>
    </row>
    <row r="53" spans="1:17" x14ac:dyDescent="0.25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Q5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","455", " - ", "Vending (old)")</f>
        <v>Department 455 - Vending (old)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 t="shared" ref="D17:O17" si="4">SUM(0)</f>
        <v>0</v>
      </c>
      <c r="E17" s="14">
        <f t="shared" si="4"/>
        <v>0</v>
      </c>
      <c r="F17" s="14">
        <f t="shared" si="4"/>
        <v>0</v>
      </c>
      <c r="G17" s="14">
        <f t="shared" si="4"/>
        <v>0</v>
      </c>
      <c r="H17" s="14">
        <f t="shared" si="4"/>
        <v>0</v>
      </c>
      <c r="I17" s="14">
        <f t="shared" si="4"/>
        <v>0</v>
      </c>
      <c r="J17" s="14">
        <f t="shared" si="4"/>
        <v>0</v>
      </c>
      <c r="K17" s="14">
        <f t="shared" si="4"/>
        <v>0</v>
      </c>
      <c r="L17" s="14">
        <f t="shared" si="4"/>
        <v>0</v>
      </c>
      <c r="M17" s="14">
        <f t="shared" si="4"/>
        <v>0</v>
      </c>
      <c r="N17" s="14">
        <f t="shared" si="4"/>
        <v>0</v>
      </c>
      <c r="O17" s="14">
        <f t="shared" si="4"/>
        <v>0</v>
      </c>
      <c r="Q17" s="14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3"/>
      <c r="B19" s="16" t="s">
        <v>291</v>
      </c>
      <c r="C19" s="22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>
        <f>--1400.88</f>
        <v>1400.88</v>
      </c>
      <c r="L19" s="3">
        <f>0</f>
        <v>0</v>
      </c>
      <c r="M19" s="3">
        <f>--1082.75</f>
        <v>1082.75</v>
      </c>
      <c r="N19" s="3"/>
      <c r="O19" s="3"/>
      <c r="Q19" s="2">
        <f>SUM(OSRRefD23_0x)+IFERROR(SUM(OSRRefE23_0x),0)</f>
        <v>16287.57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5">IFERROR(+D14-D17+D19, 0)</f>
        <v>1564.13</v>
      </c>
      <c r="E21" s="8">
        <f t="shared" si="5"/>
        <v>0</v>
      </c>
      <c r="F21" s="8">
        <f t="shared" si="5"/>
        <v>624.67999999999995</v>
      </c>
      <c r="G21" s="8">
        <f t="shared" si="5"/>
        <v>338.19</v>
      </c>
      <c r="H21" s="8">
        <f t="shared" si="5"/>
        <v>173.47</v>
      </c>
      <c r="I21" s="8">
        <f t="shared" si="5"/>
        <v>10316.52</v>
      </c>
      <c r="J21" s="8">
        <f t="shared" si="5"/>
        <v>786.95</v>
      </c>
      <c r="K21" s="8">
        <f t="shared" si="5"/>
        <v>1400.88</v>
      </c>
      <c r="L21" s="8">
        <f t="shared" si="5"/>
        <v>0</v>
      </c>
      <c r="M21" s="8">
        <f t="shared" si="5"/>
        <v>1082.75</v>
      </c>
      <c r="N21" s="8">
        <f t="shared" si="5"/>
        <v>0</v>
      </c>
      <c r="O21" s="8">
        <f t="shared" si="5"/>
        <v>0</v>
      </c>
      <c r="Q21" s="8">
        <f>IFERROR(+Q14-Q17+Q19, 0)</f>
        <v>16287.57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7">
        <f t="shared" ref="D26:O26" si="7">IFERROR(+D21-D24, 0)</f>
        <v>1564.13</v>
      </c>
      <c r="E26" s="7">
        <f t="shared" si="7"/>
        <v>0</v>
      </c>
      <c r="F26" s="7">
        <f t="shared" si="7"/>
        <v>624.67999999999995</v>
      </c>
      <c r="G26" s="7">
        <f t="shared" si="7"/>
        <v>338.19</v>
      </c>
      <c r="H26" s="7">
        <f t="shared" si="7"/>
        <v>173.47</v>
      </c>
      <c r="I26" s="7">
        <f t="shared" si="7"/>
        <v>10316.52</v>
      </c>
      <c r="J26" s="7">
        <f t="shared" si="7"/>
        <v>786.95</v>
      </c>
      <c r="K26" s="7">
        <f t="shared" si="7"/>
        <v>1400.88</v>
      </c>
      <c r="L26" s="7">
        <f t="shared" si="7"/>
        <v>0</v>
      </c>
      <c r="M26" s="7">
        <f t="shared" si="7"/>
        <v>1082.75</v>
      </c>
      <c r="N26" s="7">
        <f t="shared" si="7"/>
        <v>0</v>
      </c>
      <c r="O26" s="7">
        <f t="shared" si="7"/>
        <v>0</v>
      </c>
      <c r="Q26" s="7">
        <f>IFERROR(+Q21-Q24, 0)</f>
        <v>16287.57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292</v>
      </c>
      <c r="C30" s="17"/>
      <c r="D30" s="7">
        <f t="shared" ref="D30:O30" si="9">IFERROR(SUM(D26:D29), 0)</f>
        <v>1564.13</v>
      </c>
      <c r="E30" s="7">
        <f t="shared" si="9"/>
        <v>0</v>
      </c>
      <c r="F30" s="7">
        <f t="shared" si="9"/>
        <v>624.67999999999995</v>
      </c>
      <c r="G30" s="7">
        <f t="shared" si="9"/>
        <v>338.19</v>
      </c>
      <c r="H30" s="7">
        <f t="shared" si="9"/>
        <v>173.47</v>
      </c>
      <c r="I30" s="7">
        <f t="shared" si="9"/>
        <v>10316.52</v>
      </c>
      <c r="J30" s="7">
        <f t="shared" si="9"/>
        <v>786.95</v>
      </c>
      <c r="K30" s="7">
        <f t="shared" si="9"/>
        <v>1400.88</v>
      </c>
      <c r="L30" s="7">
        <f t="shared" si="9"/>
        <v>0</v>
      </c>
      <c r="M30" s="7">
        <f t="shared" si="9"/>
        <v>1082.75</v>
      </c>
      <c r="N30" s="7">
        <f t="shared" si="9"/>
        <v>0</v>
      </c>
      <c r="O30" s="7">
        <f t="shared" si="9"/>
        <v>0</v>
      </c>
      <c r="Q30" s="7">
        <f>IFERROR(SUM(Q26:Q29), 0)</f>
        <v>16287.57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27">
        <v>44330.012769791669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Q32" s="13"/>
    </row>
    <row r="33" spans="1:17" x14ac:dyDescent="0.25">
      <c r="A33" s="5"/>
      <c r="B33" s="31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25">
      <c r="A34" s="5"/>
      <c r="B34" s="26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180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SUM(OSRRefE11x_0)</f>
        <v>82346</v>
      </c>
      <c r="O10" s="3">
        <f>SUM(OSRRefE11x_1)</f>
        <v>0</v>
      </c>
      <c r="P10" s="24"/>
      <c r="Q10" s="3">
        <f>SUM(OSRRefG11x)</f>
        <v>1023701.8999999998</v>
      </c>
      <c r="R10" s="24"/>
    </row>
    <row r="11" spans="1:18" s="9" customFormat="1" hidden="1" outlineLevel="1" x14ac:dyDescent="0.25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/>
      <c r="O11" s="2"/>
      <c r="Q11" s="2">
        <f>SUM(OSRRefD11_0x)+IFERROR(SUM(OSRRefE11_0x),0)</f>
        <v>1084.9000000000001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M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v>82346</v>
      </c>
      <c r="O12" s="2">
        <v>0</v>
      </c>
      <c r="Q12" s="2">
        <f>SUM(OSRRefD11_1x)+IFERROR(SUM(OSRRefE11_1x),0)</f>
        <v>82346</v>
      </c>
    </row>
    <row r="13" spans="1:18" s="9" customFormat="1" hidden="1" outlineLevel="1" x14ac:dyDescent="0.25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>
        <f>--85567.69</f>
        <v>85567.69</v>
      </c>
      <c r="N13" s="2"/>
      <c r="O13" s="2"/>
      <c r="Q13" s="2">
        <f>SUM(OSRRefD11_2x)+IFERROR(SUM(OSRRefE11_2x),0)</f>
        <v>892828.71999999974</v>
      </c>
    </row>
    <row r="14" spans="1:18" s="9" customFormat="1" hidden="1" outlineLevel="1" x14ac:dyDescent="0.25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>
        <f>--2207.76</f>
        <v>2207.7600000000002</v>
      </c>
      <c r="K14" s="2">
        <f>--5865.41</f>
        <v>5865.41</v>
      </c>
      <c r="L14" s="2">
        <f>--5170.79</f>
        <v>5170.79</v>
      </c>
      <c r="M14" s="2">
        <f>--4436.92</f>
        <v>4436.92</v>
      </c>
      <c r="N14" s="2"/>
      <c r="O14" s="2"/>
      <c r="Q14" s="2">
        <f>SUM(OSRRefD11_3x)+IFERROR(SUM(OSRRefE11_3x),0)</f>
        <v>47442.280000000006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SUM(OSRRefD14x_9)</f>
        <v>46906.81</v>
      </c>
      <c r="N16" s="3">
        <f>SUM(OSRRefE14x_0)</f>
        <v>23057</v>
      </c>
      <c r="O16" s="3">
        <f>SUM(OSRRefE14x_1)</f>
        <v>0</v>
      </c>
      <c r="Q16" s="3">
        <f>SUM(OSRRefG14x)</f>
        <v>438947.18</v>
      </c>
    </row>
    <row r="17" spans="1:17" s="9" customFormat="1" hidden="1" outlineLevel="1" x14ac:dyDescent="0.25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23057</v>
      </c>
      <c r="O17" s="2">
        <v>0</v>
      </c>
      <c r="Q17" s="2">
        <f>SUM(OSRRefD14_0x)+IFERROR(SUM(OSRRefE14_0x),0)</f>
        <v>23057</v>
      </c>
    </row>
    <row r="18" spans="1:17" s="9" customFormat="1" hidden="1" outlineLevel="1" x14ac:dyDescent="0.25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8280.6200000000008</v>
      </c>
      <c r="E18" s="2">
        <v>76328.600000000006</v>
      </c>
      <c r="F18" s="2">
        <v>40326.199999999997</v>
      </c>
      <c r="G18" s="2">
        <v>60972.03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>
        <v>46411.81</v>
      </c>
      <c r="N18" s="2"/>
      <c r="O18" s="2"/>
      <c r="Q18" s="2">
        <f>SUM(OSRRefD14_1x)+IFERROR(SUM(OSRRefE14_1x),0)</f>
        <v>419669.88</v>
      </c>
    </row>
    <row r="19" spans="1:17" s="9" customFormat="1" hidden="1" outlineLevel="1" x14ac:dyDescent="0.25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>
        <v>495</v>
      </c>
      <c r="N19" s="2"/>
      <c r="O19" s="2"/>
      <c r="Q19" s="2">
        <f>SUM(OSRRefD14_2x)+IFERROR(SUM(OSRRefE14_2x),0)</f>
        <v>-3779.7000000000025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3">IFERROR(+D10-D16, 0)</f>
        <v>7638.2999999999975</v>
      </c>
      <c r="E21" s="8">
        <f t="shared" si="3"/>
        <v>3755.4799999999959</v>
      </c>
      <c r="F21" s="8">
        <f t="shared" si="3"/>
        <v>178708.36</v>
      </c>
      <c r="G21" s="8">
        <f t="shared" si="3"/>
        <v>78564.889999999985</v>
      </c>
      <c r="H21" s="8">
        <f t="shared" si="3"/>
        <v>66500.89</v>
      </c>
      <c r="I21" s="8">
        <f t="shared" si="3"/>
        <v>50467.13</v>
      </c>
      <c r="J21" s="8">
        <f t="shared" si="3"/>
        <v>6268.5800000000017</v>
      </c>
      <c r="K21" s="8">
        <f t="shared" si="3"/>
        <v>42400.41</v>
      </c>
      <c r="L21" s="8">
        <f t="shared" si="3"/>
        <v>47902.69999999999</v>
      </c>
      <c r="M21" s="8">
        <f t="shared" si="3"/>
        <v>43258.979999999996</v>
      </c>
      <c r="N21" s="8">
        <f t="shared" si="3"/>
        <v>59289</v>
      </c>
      <c r="O21" s="8">
        <f t="shared" si="3"/>
        <v>0</v>
      </c>
      <c r="Q21" s="8">
        <f>IFERROR(+Q10-Q16, 0)</f>
        <v>584754.71999999974</v>
      </c>
    </row>
    <row r="22" spans="1:17" s="6" customFormat="1" x14ac:dyDescent="0.2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0.16387951734784448</v>
      </c>
      <c r="K22" s="4">
        <f t="shared" si="4"/>
        <v>0.50093605613076009</v>
      </c>
      <c r="L22" s="4">
        <f t="shared" si="4"/>
        <v>0.52183443551481234</v>
      </c>
      <c r="M22" s="4">
        <f t="shared" si="4"/>
        <v>0.47977154084714391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0.57121581976159252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4">
        <f>SUM(OSRRefD20x_0)</f>
        <v>185969.99999999994</v>
      </c>
      <c r="E24" s="14">
        <f>SUM(OSRRefD20x_1)</f>
        <v>198092.34999999998</v>
      </c>
      <c r="F24" s="14">
        <f>SUM(OSRRefD20x_2)</f>
        <v>241864.58</v>
      </c>
      <c r="G24" s="14">
        <f>SUM(OSRRefD20x_3)</f>
        <v>287908.50999999995</v>
      </c>
      <c r="H24" s="14">
        <f>SUM(OSRRefD20x_4)</f>
        <v>241157.65</v>
      </c>
      <c r="I24" s="14">
        <f>SUM(OSRRefD20x_5)</f>
        <v>248474.40999999997</v>
      </c>
      <c r="J24" s="14">
        <f>SUM(OSRRefD20x_6)</f>
        <v>181978.56000000003</v>
      </c>
      <c r="K24" s="14">
        <f>SUM(OSRRefD20x_7)</f>
        <v>212057.01999999996</v>
      </c>
      <c r="L24" s="14">
        <f>SUM(OSRRefD20x_8)</f>
        <v>223862.62</v>
      </c>
      <c r="M24" s="14">
        <f>SUM(OSRRefD20x_9)</f>
        <v>245981.21000000002</v>
      </c>
      <c r="N24" s="14">
        <f>SUM(OSRRefE20x_0)</f>
        <v>252841.86021420313</v>
      </c>
      <c r="O24" s="14">
        <f>SUM(OSRRefE20x_1)</f>
        <v>210651.29021420312</v>
      </c>
      <c r="Q24" s="14">
        <f>SUM(OSRRefG20x)</f>
        <v>2730840.0604284061</v>
      </c>
    </row>
    <row r="25" spans="1:17" s="34" customFormat="1" collapsed="1" x14ac:dyDescent="0.25">
      <c r="A25" s="35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SUM(OSRRefD21_0x_6)</f>
        <v>73060.73000000001</v>
      </c>
      <c r="K25" s="1">
        <f>SUM(OSRRefD21_0x_7)</f>
        <v>75508.849999999991</v>
      </c>
      <c r="L25" s="1">
        <f>SUM(OSRRefD21_0x_8)</f>
        <v>75122.750000000015</v>
      </c>
      <c r="M25" s="1">
        <f>SUM(OSRRefD21_0x_9)</f>
        <v>82804.11</v>
      </c>
      <c r="N25" s="1">
        <f>SUM(OSRRefE21_0x_0)</f>
        <v>88255.350294203119</v>
      </c>
      <c r="O25" s="1">
        <f>SUM(OSRRefE21_0x_1)</f>
        <v>86855.580294203115</v>
      </c>
      <c r="Q25" s="2">
        <f>SUM(OSRRefD20_0x)+IFERROR(SUM(OSRRefE20_0x),0)</f>
        <v>948315.62058840622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1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7273.64</v>
      </c>
      <c r="K26" s="2">
        <v>7341.31</v>
      </c>
      <c r="L26" s="2">
        <v>7440.67</v>
      </c>
      <c r="M26" s="2">
        <v>11026.35</v>
      </c>
      <c r="N26" s="2">
        <v>8447.6656677415394</v>
      </c>
      <c r="O26" s="2">
        <v>8447.6656677415394</v>
      </c>
      <c r="P26" s="9"/>
      <c r="Q26" s="2">
        <f>SUM(OSRRefD21_0_0x)+IFERROR(SUM(OSRRefE21_0_0x),0)</f>
        <v>99083.341335483085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1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881.13</v>
      </c>
      <c r="K27" s="2">
        <v>4706.38</v>
      </c>
      <c r="L27" s="2">
        <v>4651.68</v>
      </c>
      <c r="M27" s="2">
        <v>4428.88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59041.728700799998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1"/>
      <c r="D28" s="2">
        <v>41691.089999999997</v>
      </c>
      <c r="E28" s="2">
        <v>44390.99</v>
      </c>
      <c r="F28" s="2">
        <v>44390.99</v>
      </c>
      <c r="G28" s="2">
        <v>45706.28</v>
      </c>
      <c r="H28" s="2">
        <v>45706.28</v>
      </c>
      <c r="I28" s="2">
        <v>45706.3</v>
      </c>
      <c r="J28" s="2">
        <v>45413.66</v>
      </c>
      <c r="K28" s="2">
        <v>45413.64</v>
      </c>
      <c r="L28" s="2">
        <v>45413.66</v>
      </c>
      <c r="M28" s="2">
        <v>44853.96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559955.3115384616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1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555.41999999999996</v>
      </c>
      <c r="K29" s="2">
        <v>288.32</v>
      </c>
      <c r="L29" s="2">
        <v>285.97000000000003</v>
      </c>
      <c r="M29" s="2">
        <v>268.93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3666.6993151999995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1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5305.4</v>
      </c>
      <c r="K30" s="2">
        <v>3594.3</v>
      </c>
      <c r="L30" s="2">
        <v>3594.3</v>
      </c>
      <c r="M30" s="2">
        <v>3594.3</v>
      </c>
      <c r="N30" s="2">
        <v>3776.2203076923101</v>
      </c>
      <c r="O30" s="2">
        <v>3776.2203076923101</v>
      </c>
      <c r="P30" s="9"/>
      <c r="Q30" s="2">
        <f>SUM(OSRRefD21_0_4x)+IFERROR(SUM(OSRRefE21_0_4x),0)</f>
        <v>47291.120615384621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1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>
        <v>1440.43</v>
      </c>
      <c r="K32" s="2">
        <v>1429.17</v>
      </c>
      <c r="L32" s="2">
        <v>2091.52</v>
      </c>
      <c r="M32" s="2">
        <v>1408.97</v>
      </c>
      <c r="N32" s="2"/>
      <c r="O32" s="2"/>
      <c r="P32" s="9"/>
      <c r="Q32" s="2">
        <f>SUM(OSRRefD21_0_6x)+IFERROR(SUM(OSRRefE21_0_6x),0)</f>
        <v>15402.890000000001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1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6545.79</v>
      </c>
      <c r="K33" s="2">
        <v>5840.82</v>
      </c>
      <c r="L33" s="2">
        <v>5483.28</v>
      </c>
      <c r="M33" s="2">
        <v>9052.56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79725.702676923072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1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4211.6000000000004</v>
      </c>
      <c r="K34" s="2">
        <v>4148.87</v>
      </c>
      <c r="L34" s="2">
        <v>4211.6000000000004</v>
      </c>
      <c r="M34" s="2">
        <v>6113.16</v>
      </c>
      <c r="N34" s="2">
        <v>4488.5782030769196</v>
      </c>
      <c r="O34" s="2">
        <v>3932.3782030769198</v>
      </c>
      <c r="P34" s="9"/>
      <c r="Q34" s="2">
        <f>SUM(OSRRefD21_0_8x)+IFERROR(SUM(OSRRefE21_0_8x),0)</f>
        <v>53770.416406153832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1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1433.66</v>
      </c>
      <c r="K35" s="2">
        <v>2746.04</v>
      </c>
      <c r="L35" s="2">
        <v>1950.07</v>
      </c>
      <c r="M35" s="2">
        <v>2057</v>
      </c>
      <c r="N35" s="2">
        <v>3675</v>
      </c>
      <c r="O35" s="2">
        <v>3675</v>
      </c>
      <c r="P35" s="9"/>
      <c r="Q35" s="2">
        <f>SUM(OSRRefD21_0_9x)+IFERROR(SUM(OSRRefE21_0_9x),0)</f>
        <v>30378.41</v>
      </c>
    </row>
    <row r="36" spans="1:17" s="34" customFormat="1" collapsed="1" x14ac:dyDescent="0.25">
      <c r="A36" s="35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SUM(OSRRefD21_1x_6)</f>
        <v>107539.51000000001</v>
      </c>
      <c r="K36" s="1">
        <f>SUM(OSRRefD21_1x_7)</f>
        <v>97261.73</v>
      </c>
      <c r="L36" s="1">
        <f>SUM(OSRRefD21_1x_8)</f>
        <v>105984.6</v>
      </c>
      <c r="M36" s="1">
        <f>SUM(OSRRefD21_1x_9)</f>
        <v>116919.33</v>
      </c>
      <c r="N36" s="1">
        <f>SUM(OSRRefE21_1x_0)</f>
        <v>118067.50992</v>
      </c>
      <c r="O36" s="1">
        <f>SUM(OSRRefE21_1x_1)</f>
        <v>100083.70991999999</v>
      </c>
      <c r="Q36" s="2">
        <f>SUM(OSRRefD20_1x)+IFERROR(SUM(OSRRefE20_1x),0)</f>
        <v>1286372.3998399999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1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10826.56</v>
      </c>
      <c r="K37" s="2">
        <v>9034.5400000000009</v>
      </c>
      <c r="L37" s="2">
        <v>9034.5400000000009</v>
      </c>
      <c r="M37" s="2">
        <v>8959.42</v>
      </c>
      <c r="N37" s="2">
        <v>0</v>
      </c>
      <c r="O37" s="2">
        <v>0</v>
      </c>
      <c r="P37" s="9"/>
      <c r="Q37" s="2">
        <f>SUM(OSRRefD21_1_0x)+IFERROR(SUM(OSRRefE21_1_0x),0)</f>
        <v>91164.319999999992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1"/>
      <c r="D38" s="2">
        <v>34236.54</v>
      </c>
      <c r="E38" s="2">
        <v>27627.58</v>
      </c>
      <c r="F38" s="2">
        <v>28059.71</v>
      </c>
      <c r="G38" s="2">
        <v>31630.77</v>
      </c>
      <c r="H38" s="2">
        <v>23741.200000000001</v>
      </c>
      <c r="I38" s="2">
        <v>24662.15</v>
      </c>
      <c r="J38" s="2">
        <v>32454.49</v>
      </c>
      <c r="K38" s="2">
        <v>28604.240000000002</v>
      </c>
      <c r="L38" s="2">
        <v>28252.19</v>
      </c>
      <c r="M38" s="2">
        <v>31093.77</v>
      </c>
      <c r="N38" s="2">
        <v>39345.26</v>
      </c>
      <c r="O38" s="2">
        <v>39345.26</v>
      </c>
      <c r="P38" s="9"/>
      <c r="Q38" s="2">
        <f>SUM(OSRRefD21_1_1x)+IFERROR(SUM(OSRRefE21_1_1x),0)</f>
        <v>369053.16000000003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1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47514.37</v>
      </c>
      <c r="I40" s="2">
        <v>36454.699999999997</v>
      </c>
      <c r="J40" s="2">
        <v>37580.93</v>
      </c>
      <c r="K40" s="2">
        <v>39161.4</v>
      </c>
      <c r="L40" s="2">
        <v>44312.87</v>
      </c>
      <c r="M40" s="2">
        <v>66076.2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583925.05984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10614.88</v>
      </c>
      <c r="N41" s="2">
        <v>17983.8</v>
      </c>
      <c r="O41" s="2">
        <v>0</v>
      </c>
      <c r="P41" s="9"/>
      <c r="Q41" s="2">
        <f>SUM(OSRRefD21_1_4x)+IFERROR(SUM(OSRRefE21_1_4x),0)</f>
        <v>117957.87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847.56</v>
      </c>
      <c r="N42" s="2">
        <v>0</v>
      </c>
      <c r="O42" s="2">
        <v>0</v>
      </c>
      <c r="P42" s="9"/>
      <c r="Q42" s="2">
        <f>SUM(OSRRefD21_1_5x)+IFERROR(SUM(OSRRefE21_1_5x),0)</f>
        <v>2174.52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1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18097.580000000002</v>
      </c>
      <c r="K43" s="2">
        <v>10190.19</v>
      </c>
      <c r="L43" s="2">
        <v>14713.89</v>
      </c>
      <c r="M43" s="2">
        <v>-672.5</v>
      </c>
      <c r="N43" s="2">
        <v>0</v>
      </c>
      <c r="O43" s="2">
        <v>0</v>
      </c>
      <c r="P43" s="9"/>
      <c r="Q43" s="2">
        <f>SUM(OSRRefD21_1_6x)+IFERROR(SUM(OSRRefE21_1_6x),0)</f>
        <v>111466.59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SUM(OSRRefD21_2x_9)</f>
        <v>122.76</v>
      </c>
      <c r="N47" s="1">
        <f>SUM(OSRRefE21_2x_0)</f>
        <v>369</v>
      </c>
      <c r="O47" s="1">
        <f>SUM(OSRRefE21_2x_1)</f>
        <v>369</v>
      </c>
      <c r="Q47" s="2">
        <f>SUM(OSRRefD20_2x)+IFERROR(SUM(OSRRefE20_2x),0)</f>
        <v>2305.9300000000003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1"/>
      <c r="D48" s="2">
        <v>724.49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122.76</v>
      </c>
      <c r="N48" s="2">
        <v>369</v>
      </c>
      <c r="O48" s="2">
        <v>369</v>
      </c>
      <c r="P48" s="9"/>
      <c r="Q48" s="2">
        <f>SUM(OSRRefD21_2_0x)+IFERROR(SUM(OSRRefE21_2_0x),0)</f>
        <v>2305.9300000000003</v>
      </c>
    </row>
    <row r="49" spans="1:17" s="34" customFormat="1" collapsed="1" x14ac:dyDescent="0.25">
      <c r="A49" s="35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SUM(OSRRefD21_3x_9)</f>
        <v>0</v>
      </c>
      <c r="N49" s="1">
        <f>SUM(OSRRefE21_3x_0)</f>
        <v>16</v>
      </c>
      <c r="O49" s="1">
        <f>SUM(OSRRefE21_3x_1)</f>
        <v>0</v>
      </c>
      <c r="Q49" s="2">
        <f>SUM(OSRRefD20_3x)+IFERROR(SUM(OSRRefE20_3x),0)</f>
        <v>69.539999999999992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>
        <v>32</v>
      </c>
      <c r="F50" s="2">
        <v>29.74</v>
      </c>
      <c r="G50" s="2">
        <v>8</v>
      </c>
      <c r="H50" s="2"/>
      <c r="I50" s="2"/>
      <c r="J50" s="2"/>
      <c r="K50" s="2">
        <v>-16.2</v>
      </c>
      <c r="L50" s="2"/>
      <c r="M50" s="2"/>
      <c r="N50" s="2">
        <v>16</v>
      </c>
      <c r="O50" s="2">
        <v>0</v>
      </c>
      <c r="P50" s="9"/>
      <c r="Q50" s="2">
        <f>SUM(OSRRefD21_3_0x)+IFERROR(SUM(OSRRefE21_3_0x),0)</f>
        <v>69.539999999999992</v>
      </c>
    </row>
    <row r="51" spans="1:17" s="34" customFormat="1" collapsed="1" x14ac:dyDescent="0.25">
      <c r="A51" s="35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SUM(OSRRefD21_4x_9)</f>
        <v>79.34</v>
      </c>
      <c r="N51" s="1">
        <f>SUM(OSRRefE21_4x_0)</f>
        <v>136</v>
      </c>
      <c r="O51" s="1">
        <f>SUM(OSRRefE21_4x_1)</f>
        <v>0</v>
      </c>
      <c r="Q51" s="2">
        <f>SUM(OSRRefD20_4x)+IFERROR(SUM(OSRRefE20_4x),0)</f>
        <v>482.34000000000003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79.34</v>
      </c>
      <c r="N52" s="2">
        <v>136</v>
      </c>
      <c r="O52" s="2">
        <v>0</v>
      </c>
      <c r="P52" s="9"/>
      <c r="Q52" s="2">
        <f>SUM(OSRRefD21_4_0x)+IFERROR(SUM(OSRRefE21_4_0x),0)</f>
        <v>482.34000000000003</v>
      </c>
    </row>
    <row r="53" spans="1:17" s="34" customFormat="1" collapsed="1" x14ac:dyDescent="0.25">
      <c r="A53" s="35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SUM(OSRRefD21_5x_6)</f>
        <v>758.5</v>
      </c>
      <c r="K53" s="1">
        <f>SUM(OSRRefD21_5x_7)</f>
        <v>758.5</v>
      </c>
      <c r="L53" s="1">
        <f>SUM(OSRRefD21_5x_8)</f>
        <v>758.5</v>
      </c>
      <c r="M53" s="1">
        <f>SUM(OSRRefD21_5x_9)</f>
        <v>758.5</v>
      </c>
      <c r="N53" s="1">
        <f>SUM(OSRRefE21_5x_0)</f>
        <v>213</v>
      </c>
      <c r="O53" s="1">
        <f>SUM(OSRRefE21_5x_1)</f>
        <v>213</v>
      </c>
      <c r="Q53" s="2">
        <f>SUM(OSRRefD20_5x)+IFERROR(SUM(OSRRefE20_5x),0)</f>
        <v>7482.5599999999995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758.5</v>
      </c>
      <c r="K54" s="2">
        <v>758.5</v>
      </c>
      <c r="L54" s="2">
        <v>758.5</v>
      </c>
      <c r="M54" s="2">
        <v>758.5</v>
      </c>
      <c r="N54" s="2">
        <v>213</v>
      </c>
      <c r="O54" s="2">
        <v>213</v>
      </c>
      <c r="P54" s="9"/>
      <c r="Q54" s="2">
        <f>SUM(OSRRefD21_5_0x)+IFERROR(SUM(OSRRefE21_5_0x),0)</f>
        <v>7482.5599999999995</v>
      </c>
    </row>
    <row r="55" spans="1:17" s="34" customFormat="1" collapsed="1" x14ac:dyDescent="0.25">
      <c r="A55" s="35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SUM(OSRRefD21_6x_9)</f>
        <v>7325.88</v>
      </c>
      <c r="N55" s="1">
        <f>SUM(OSRRefE21_6x_0)</f>
        <v>8100</v>
      </c>
      <c r="O55" s="1">
        <f>SUM(OSRRefE21_6x_1)</f>
        <v>0</v>
      </c>
      <c r="Q55" s="2">
        <f>SUM(OSRRefD20_6x)+IFERROR(SUM(OSRRefE20_6x),0)</f>
        <v>66405.64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7325.88</v>
      </c>
      <c r="N56" s="2">
        <v>8100</v>
      </c>
      <c r="O56" s="2"/>
      <c r="P56" s="9"/>
      <c r="Q56" s="2">
        <f>SUM(OSRRefD21_6_0x)+IFERROR(SUM(OSRRefE21_6_0x),0)</f>
        <v>66405.64</v>
      </c>
    </row>
    <row r="57" spans="1:17" s="34" customFormat="1" collapsed="1" x14ac:dyDescent="0.25">
      <c r="A57" s="35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SUM(OSRRefD21_7x_9)</f>
        <v>0</v>
      </c>
      <c r="N57" s="1">
        <f>SUM(OSRRefE21_7x_0)</f>
        <v>150</v>
      </c>
      <c r="O57" s="1">
        <f>SUM(OSRRefE21_7x_1)</f>
        <v>0</v>
      </c>
      <c r="Q57" s="2">
        <f>SUM(OSRRefD20_7x)+IFERROR(SUM(OSRRefE20_7x),0)</f>
        <v>150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150</v>
      </c>
      <c r="O58" s="2">
        <v>0</v>
      </c>
      <c r="P58" s="9"/>
      <c r="Q58" s="2">
        <f>SUM(OSRRefD21_7_0x)+IFERROR(SUM(OSRRefE21_7_0x),0)</f>
        <v>150</v>
      </c>
    </row>
    <row r="59" spans="1:17" s="34" customFormat="1" collapsed="1" x14ac:dyDescent="0.25">
      <c r="A59" s="35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SUM(OSRRefD21_8x_6)</f>
        <v>353.49</v>
      </c>
      <c r="K59" s="1">
        <f>SUM(OSRRefD21_8x_7)</f>
        <v>556.54</v>
      </c>
      <c r="L59" s="1">
        <f>SUM(OSRRefD21_8x_8)</f>
        <v>716.36</v>
      </c>
      <c r="M59" s="1">
        <f>SUM(OSRRefD21_8x_9)</f>
        <v>923.26</v>
      </c>
      <c r="N59" s="1">
        <f>SUM(OSRRefE21_8x_0)</f>
        <v>690</v>
      </c>
      <c r="O59" s="1">
        <f>SUM(OSRRefE21_8x_1)</f>
        <v>690</v>
      </c>
      <c r="Q59" s="2">
        <f>SUM(OSRRefD20_8x)+IFERROR(SUM(OSRRefE20_8x),0)</f>
        <v>6857.1799999999994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1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353.49</v>
      </c>
      <c r="K60" s="2">
        <v>556.54</v>
      </c>
      <c r="L60" s="2">
        <v>716.36</v>
      </c>
      <c r="M60" s="2">
        <v>923.26</v>
      </c>
      <c r="N60" s="2">
        <v>690</v>
      </c>
      <c r="O60" s="2">
        <v>690</v>
      </c>
      <c r="P60" s="9"/>
      <c r="Q60" s="2">
        <f>SUM(OSRRefD21_8_0x)+IFERROR(SUM(OSRRefE21_8_0x),0)</f>
        <v>6857.1799999999994</v>
      </c>
    </row>
    <row r="61" spans="1:17" s="34" customFormat="1" collapsed="1" x14ac:dyDescent="0.25">
      <c r="A61" s="35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SUM(OSRRefD21_9x_6)</f>
        <v>0</v>
      </c>
      <c r="K61" s="1">
        <f>SUM(OSRRefD21_9x_7)</f>
        <v>0</v>
      </c>
      <c r="L61" s="1">
        <f>SUM(OSRRefD21_9x_8)</f>
        <v>436.32</v>
      </c>
      <c r="M61" s="1">
        <f>SUM(OSRRefD21_9x_9)</f>
        <v>19</v>
      </c>
      <c r="N61" s="1">
        <f>SUM(OSRRefE21_9x_0)</f>
        <v>420</v>
      </c>
      <c r="O61" s="1">
        <f>SUM(OSRRefE21_9x_1)</f>
        <v>420</v>
      </c>
      <c r="Q61" s="2">
        <f>SUM(OSRRefD20_9x)+IFERROR(SUM(OSRRefE20_9x),0)</f>
        <v>8453.7499999999982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1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/>
      <c r="K62" s="2"/>
      <c r="L62" s="2">
        <v>436.32</v>
      </c>
      <c r="M62" s="2">
        <v>19</v>
      </c>
      <c r="N62" s="2">
        <v>420</v>
      </c>
      <c r="O62" s="2">
        <v>420</v>
      </c>
      <c r="P62" s="9"/>
      <c r="Q62" s="2">
        <f>SUM(OSRRefD21_9_0x)+IFERROR(SUM(OSRRefE21_9_0x),0)</f>
        <v>8453.7499999999982</v>
      </c>
    </row>
    <row r="63" spans="1:17" s="34" customFormat="1" collapsed="1" x14ac:dyDescent="0.25">
      <c r="A63" s="35"/>
      <c r="B63" s="11" t="str">
        <f>CONCATENATE("     ","Insurance                                         ")</f>
        <v xml:space="preserve">     Insurance                                         </v>
      </c>
      <c r="C63" s="11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SUM(OSRRefD21_10x_6)</f>
        <v>5.9</v>
      </c>
      <c r="K63" s="1">
        <f>SUM(OSRRefD21_10x_7)</f>
        <v>5.9</v>
      </c>
      <c r="L63" s="1">
        <f>SUM(OSRRefD21_10x_8)</f>
        <v>5.9</v>
      </c>
      <c r="M63" s="1">
        <f>SUM(OSRRefD21_10x_9)</f>
        <v>5.9</v>
      </c>
      <c r="N63" s="1">
        <f>SUM(OSRRefE21_10x_0)</f>
        <v>7</v>
      </c>
      <c r="O63" s="1">
        <f>SUM(OSRRefE21_10x_1)</f>
        <v>7</v>
      </c>
      <c r="Q63" s="2">
        <f>SUM(OSRRefD20_10x)+IFERROR(SUM(OSRRefE20_10x),0)</f>
        <v>73</v>
      </c>
    </row>
    <row r="64" spans="1:17" s="34" customFormat="1" hidden="1" outlineLevel="1" x14ac:dyDescent="0.25">
      <c r="A64" s="35"/>
      <c r="B64" s="10" t="str">
        <f>CONCATENATE("          ","6314", " - ","LIABILITY INSURANCE")</f>
        <v xml:space="preserve">          6314 - LIABILITY INSURANCE</v>
      </c>
      <c r="C64" s="11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5.9</v>
      </c>
      <c r="K64" s="2">
        <v>5.9</v>
      </c>
      <c r="L64" s="2">
        <v>5.9</v>
      </c>
      <c r="M64" s="2">
        <v>5.9</v>
      </c>
      <c r="N64" s="2">
        <v>7</v>
      </c>
      <c r="O64" s="2">
        <v>7</v>
      </c>
      <c r="P64" s="9"/>
      <c r="Q64" s="2">
        <f>SUM(OSRRefD21_10_0x)+IFERROR(SUM(OSRRefE21_10_0x),0)</f>
        <v>73</v>
      </c>
    </row>
    <row r="65" spans="1:17" s="34" customFormat="1" collapsed="1" x14ac:dyDescent="0.25">
      <c r="A65" s="35"/>
      <c r="B65" s="11" t="str">
        <f>CONCATENATE("     ","R/H Commissions                                   ")</f>
        <v xml:space="preserve">     R/H Commissions                                   </v>
      </c>
      <c r="C65" s="11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</v>
      </c>
      <c r="J65" s="1">
        <f>SUM(OSRRefD21_11x_6)</f>
        <v>-29103.13</v>
      </c>
      <c r="K65" s="1">
        <f>SUM(OSRRefD21_11x_7)</f>
        <v>6342.49</v>
      </c>
      <c r="L65" s="1">
        <f>SUM(OSRRefD21_11x_8)</f>
        <v>6756.75</v>
      </c>
      <c r="M65" s="1">
        <f>SUM(OSRRefD21_11x_9)</f>
        <v>6627.19</v>
      </c>
      <c r="N65" s="1">
        <f>SUM(OSRRefE21_11x_0)</f>
        <v>6587</v>
      </c>
      <c r="O65" s="1">
        <f>SUM(OSRRefE21_11x_1)</f>
        <v>0</v>
      </c>
      <c r="Q65" s="2">
        <f>SUM(OSRRefD20_11x)+IFERROR(SUM(OSRRefE20_11x),0)</f>
        <v>72226.789999999979</v>
      </c>
    </row>
    <row r="66" spans="1:17" s="34" customFormat="1" hidden="1" outlineLevel="1" x14ac:dyDescent="0.25">
      <c r="A66" s="35"/>
      <c r="B66" s="10" t="str">
        <f>CONCATENATE("          ","6387", " - ","COMMISSION DUE HOUSING")</f>
        <v xml:space="preserve">          6387 - COMMISSION DUE HOUSING</v>
      </c>
      <c r="C66" s="11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</v>
      </c>
      <c r="J66" s="2">
        <v>-29103.13</v>
      </c>
      <c r="K66" s="2">
        <v>6342.49</v>
      </c>
      <c r="L66" s="2">
        <v>6756.75</v>
      </c>
      <c r="M66" s="2">
        <v>6627.19</v>
      </c>
      <c r="N66" s="2">
        <v>6587</v>
      </c>
      <c r="O66" s="2">
        <v>0</v>
      </c>
      <c r="P66" s="9"/>
      <c r="Q66" s="2">
        <f>SUM(OSRRefD21_11_0x)+IFERROR(SUM(OSRRefE21_11_0x),0)</f>
        <v>72226.789999999979</v>
      </c>
    </row>
    <row r="67" spans="1:17" s="34" customFormat="1" collapsed="1" x14ac:dyDescent="0.25">
      <c r="A67" s="35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SUM(OSRRefD21_12x_6)</f>
        <v>3524.94</v>
      </c>
      <c r="K67" s="1">
        <f>SUM(OSRRefD21_12x_7)</f>
        <v>3587.74</v>
      </c>
      <c r="L67" s="1">
        <f>SUM(OSRRefD21_12x_8)</f>
        <v>3741.62</v>
      </c>
      <c r="M67" s="1">
        <f>SUM(OSRRefD21_12x_9)</f>
        <v>3560.8900000000003</v>
      </c>
      <c r="N67" s="1">
        <f>SUM(OSRRefE21_12x_0)</f>
        <v>5588</v>
      </c>
      <c r="O67" s="1">
        <f>SUM(OSRRefE21_12x_1)</f>
        <v>3788</v>
      </c>
      <c r="Q67" s="2">
        <f>SUM(OSRRefD20_12x)+IFERROR(SUM(OSRRefE20_12x),0)</f>
        <v>31937.98</v>
      </c>
    </row>
    <row r="68" spans="1:17" s="34" customFormat="1" hidden="1" outlineLevel="1" x14ac:dyDescent="0.25">
      <c r="A68" s="35"/>
      <c r="B68" s="10" t="str">
        <f>CONCATENATE("          ","6371", " - ","COMPUTER SOFTWARE MAINTENANCE")</f>
        <v xml:space="preserve">          6371 - COMPUTER SOFTWARE MAINTENANCE</v>
      </c>
      <c r="C68" s="11"/>
      <c r="D68" s="2"/>
      <c r="E68" s="2"/>
      <c r="F68" s="2"/>
      <c r="G68" s="2"/>
      <c r="H68" s="2"/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24500</v>
      </c>
    </row>
    <row r="69" spans="1:17" s="34" customFormat="1" hidden="1" outlineLevel="1" x14ac:dyDescent="0.25">
      <c r="A69" s="35"/>
      <c r="B69" s="10" t="str">
        <f>CONCATENATE("          ","6373", " - ","MAINTENANCE CONTRACTS")</f>
        <v xml:space="preserve">          6373 - MAINTENANCE CONTRACTS</v>
      </c>
      <c r="C69" s="11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5.94</v>
      </c>
      <c r="K69" s="2">
        <v>9.5399999999999991</v>
      </c>
      <c r="L69" s="2">
        <v>241.62</v>
      </c>
      <c r="M69" s="2">
        <v>12.34</v>
      </c>
      <c r="N69" s="2">
        <v>1838</v>
      </c>
      <c r="O69" s="2">
        <v>38</v>
      </c>
      <c r="P69" s="9"/>
      <c r="Q69" s="2">
        <f>SUM(OSRRefD21_12_1x)+IFERROR(SUM(OSRRefE21_12_1x),0)</f>
        <v>5115.41</v>
      </c>
    </row>
    <row r="70" spans="1:17" s="34" customFormat="1" hidden="1" outlineLevel="1" x14ac:dyDescent="0.25">
      <c r="A70" s="35"/>
      <c r="B70" s="10" t="str">
        <f>CONCATENATE("          ","6375", " - ","OUTSIDE REPAIRS &amp; MAINTENANCE")</f>
        <v xml:space="preserve">          6375 - OUTSIDE REPAIRS &amp; MAINTENANCE</v>
      </c>
      <c r="C70" s="11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19</v>
      </c>
      <c r="K70" s="2">
        <v>78.2</v>
      </c>
      <c r="L70" s="2"/>
      <c r="M70" s="2">
        <v>48.55</v>
      </c>
      <c r="N70" s="2">
        <v>250</v>
      </c>
      <c r="O70" s="2">
        <v>250</v>
      </c>
      <c r="P70" s="9"/>
      <c r="Q70" s="2">
        <f>SUM(OSRRefD21_12_2x)+IFERROR(SUM(OSRRefE21_12_2x),0)</f>
        <v>2322.5700000000002</v>
      </c>
    </row>
    <row r="71" spans="1:17" s="34" customFormat="1" collapsed="1" x14ac:dyDescent="0.25">
      <c r="A71" s="35"/>
      <c r="B71" s="11" t="str">
        <f>CONCATENATE("     ","Services                                          ")</f>
        <v xml:space="preserve">     Services                                          </v>
      </c>
      <c r="C71" s="11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SUM(OSRRefD21_13x_6)</f>
        <v>13280.949999999999</v>
      </c>
      <c r="K71" s="1">
        <f>SUM(OSRRefD21_13x_7)</f>
        <v>10292.240000000002</v>
      </c>
      <c r="L71" s="1">
        <f>SUM(OSRRefD21_13x_8)</f>
        <v>15135.97</v>
      </c>
      <c r="M71" s="1">
        <f>SUM(OSRRefD21_13x_9)</f>
        <v>13150.170000000002</v>
      </c>
      <c r="N71" s="1">
        <f>SUM(OSRRefE21_13x_0)</f>
        <v>14250</v>
      </c>
      <c r="O71" s="1">
        <f>SUM(OSRRefE21_13x_1)</f>
        <v>14250</v>
      </c>
      <c r="Q71" s="2">
        <f>SUM(OSRRefD20_13x)+IFERROR(SUM(OSRRefE20_13x),0)</f>
        <v>145885.32</v>
      </c>
    </row>
    <row r="72" spans="1:17" s="34" customFormat="1" hidden="1" outlineLevel="1" x14ac:dyDescent="0.25">
      <c r="A72" s="35"/>
      <c r="B72" s="10" t="str">
        <f>CONCATENATE("          ","6282", " - ","JANITORIAL/EXTERMINATOR EXPENS")</f>
        <v xml:space="preserve">          6282 - JANITORIAL/EXTERMINATOR EXPENS</v>
      </c>
      <c r="C72" s="11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3610.45</v>
      </c>
      <c r="K72" s="2">
        <v>421.34</v>
      </c>
      <c r="L72" s="2">
        <v>2177.94</v>
      </c>
      <c r="M72" s="2">
        <v>2346.96</v>
      </c>
      <c r="N72" s="2">
        <v>1750</v>
      </c>
      <c r="O72" s="2">
        <v>1750</v>
      </c>
      <c r="P72" s="9"/>
      <c r="Q72" s="2">
        <f>SUM(OSRRefD21_13_0x)+IFERROR(SUM(OSRRefE21_13_0x),0)</f>
        <v>17941.550000000003</v>
      </c>
    </row>
    <row r="73" spans="1:17" s="34" customFormat="1" hidden="1" outlineLevel="1" x14ac:dyDescent="0.25">
      <c r="A73" s="35"/>
      <c r="B73" s="10" t="str">
        <f>CONCATENATE("          ","6284", " - ","TRASH REMOVAL EXPENSE")</f>
        <v xml:space="preserve">          6284 - TRASH REMOVAL EXPENSE</v>
      </c>
      <c r="C73" s="11"/>
      <c r="D73" s="2"/>
      <c r="E73" s="2"/>
      <c r="F73" s="2"/>
      <c r="G73" s="2"/>
      <c r="H73" s="2"/>
      <c r="I73" s="2">
        <v>282.75</v>
      </c>
      <c r="J73" s="2"/>
      <c r="K73" s="2"/>
      <c r="L73" s="2"/>
      <c r="M73" s="2"/>
      <c r="N73" s="2">
        <v>500</v>
      </c>
      <c r="O73" s="2">
        <v>500</v>
      </c>
      <c r="P73" s="9"/>
      <c r="Q73" s="2">
        <f>SUM(OSRRefD21_13_1x)+IFERROR(SUM(OSRRefE21_13_1x),0)</f>
        <v>1282.75</v>
      </c>
    </row>
    <row r="74" spans="1:17" s="34" customFormat="1" hidden="1" outlineLevel="1" x14ac:dyDescent="0.25">
      <c r="A74" s="35"/>
      <c r="B74" s="10" t="str">
        <f>CONCATENATE("          ","6285", " - ","JANITORIAL SERVICES")</f>
        <v xml:space="preserve">          6285 - JANITORIAL SERVICES</v>
      </c>
      <c r="C74" s="11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8897.19</v>
      </c>
      <c r="K74" s="2">
        <v>8897.19</v>
      </c>
      <c r="L74" s="2">
        <v>12079.8</v>
      </c>
      <c r="M74" s="2">
        <v>8897.19</v>
      </c>
      <c r="N74" s="2">
        <v>9000</v>
      </c>
      <c r="O74" s="2">
        <v>9000</v>
      </c>
      <c r="P74" s="9"/>
      <c r="Q74" s="2">
        <f>SUM(OSRRefD21_13_2x)+IFERROR(SUM(OSRRefE21_13_2x),0)</f>
        <v>106073.35</v>
      </c>
    </row>
    <row r="75" spans="1:17" s="34" customFormat="1" hidden="1" outlineLevel="1" x14ac:dyDescent="0.25">
      <c r="A75" s="35"/>
      <c r="B75" s="10" t="str">
        <f>CONCATENATE("          ","6286", " - ","LAUNDRY EXPENSE")</f>
        <v xml:space="preserve">          6286 - LAUNDRY EXPENSE</v>
      </c>
      <c r="C75" s="11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773.31</v>
      </c>
      <c r="K75" s="2">
        <v>973.71</v>
      </c>
      <c r="L75" s="2">
        <v>878.23</v>
      </c>
      <c r="M75" s="2">
        <v>1906.02</v>
      </c>
      <c r="N75" s="2">
        <v>3000</v>
      </c>
      <c r="O75" s="2">
        <v>3000</v>
      </c>
      <c r="P75" s="9"/>
      <c r="Q75" s="2">
        <f>SUM(OSRRefD21_13_3x)+IFERROR(SUM(OSRRefE21_13_3x),0)</f>
        <v>20587.670000000002</v>
      </c>
    </row>
    <row r="76" spans="1:17" s="34" customFormat="1" collapsed="1" x14ac:dyDescent="0.25">
      <c r="A76" s="35"/>
      <c r="B76" s="11" t="str">
        <f>CONCATENATE("     ","Subscriptions &amp; Dues                              ")</f>
        <v xml:space="preserve">     Subscriptions &amp; Dues                              </v>
      </c>
      <c r="C76" s="11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SUM(OSRRefD21_14x_6)</f>
        <v>0</v>
      </c>
      <c r="K76" s="1">
        <f>SUM(OSRRefD21_14x_7)</f>
        <v>0</v>
      </c>
      <c r="L76" s="1">
        <f>SUM(OSRRefD21_14x_8)</f>
        <v>0</v>
      </c>
      <c r="M76" s="1">
        <f>SUM(OSRRefD21_14x_9)</f>
        <v>0</v>
      </c>
      <c r="N76" s="1">
        <f>SUM(OSRRefE21_14x_0)</f>
        <v>0</v>
      </c>
      <c r="O76" s="1">
        <f>SUM(OSRRefE21_14x_1)</f>
        <v>0</v>
      </c>
      <c r="Q76" s="2">
        <f>SUM(OSRRefD20_14x)+IFERROR(SUM(OSRRefE20_14x),0)</f>
        <v>795</v>
      </c>
    </row>
    <row r="77" spans="1:17" s="34" customFormat="1" hidden="1" outlineLevel="1" x14ac:dyDescent="0.25">
      <c r="A77" s="35"/>
      <c r="B77" s="10" t="str">
        <f>CONCATENATE("          ","6258", " - ","MEMBERSHIP DUES")</f>
        <v xml:space="preserve">          6258 - MEMBERSHIP DUES</v>
      </c>
      <c r="C77" s="11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4" customFormat="1" collapsed="1" x14ac:dyDescent="0.25">
      <c r="A78" s="35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SUM(OSRRefD21_15x_6)</f>
        <v>10758.24</v>
      </c>
      <c r="K78" s="1">
        <f>SUM(OSRRefD21_15x_7)</f>
        <v>12072.349999999999</v>
      </c>
      <c r="L78" s="1">
        <f>SUM(OSRRefD21_15x_8)</f>
        <v>7489.21</v>
      </c>
      <c r="M78" s="1">
        <f>SUM(OSRRefD21_15x_9)</f>
        <v>13276.58</v>
      </c>
      <c r="N78" s="1">
        <f>SUM(OSRRefE21_15x_0)</f>
        <v>8418</v>
      </c>
      <c r="O78" s="1">
        <f>SUM(OSRRefE21_15x_1)</f>
        <v>2400</v>
      </c>
      <c r="Q78" s="2">
        <f>SUM(OSRRefD20_15x)+IFERROR(SUM(OSRRefE20_15x),0)</f>
        <v>144155.16000000003</v>
      </c>
    </row>
    <row r="79" spans="1:17" s="34" customFormat="1" hidden="1" outlineLevel="1" x14ac:dyDescent="0.25">
      <c r="A79" s="35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100</v>
      </c>
      <c r="O79" s="2">
        <v>100</v>
      </c>
      <c r="P79" s="9"/>
      <c r="Q79" s="2">
        <f>SUM(OSRRefD21_15_0x)+IFERROR(SUM(OSRRefE21_15_0x),0)</f>
        <v>200</v>
      </c>
    </row>
    <row r="80" spans="1:17" s="34" customFormat="1" hidden="1" outlineLevel="1" x14ac:dyDescent="0.25">
      <c r="A80" s="35"/>
      <c r="B80" s="10" t="str">
        <f>CONCATENATE("          ","6235", " - ","COVID-19 EXPENSES")</f>
        <v xml:space="preserve">          6235 - COVID-19 EXPENSES</v>
      </c>
      <c r="C80" s="11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2921.2</v>
      </c>
      <c r="K80" s="2">
        <v>2921.2</v>
      </c>
      <c r="L80" s="2"/>
      <c r="M80" s="2">
        <v>2921.2</v>
      </c>
      <c r="N80" s="2">
        <v>4200</v>
      </c>
      <c r="O80" s="2">
        <v>2200</v>
      </c>
      <c r="P80" s="9"/>
      <c r="Q80" s="2">
        <f>SUM(OSRRefD21_15_1x)+IFERROR(SUM(OSRRefE21_15_1x),0)</f>
        <v>62890.749999999985</v>
      </c>
    </row>
    <row r="81" spans="1:17" s="34" customFormat="1" hidden="1" outlineLevel="1" x14ac:dyDescent="0.25">
      <c r="A81" s="35"/>
      <c r="B81" s="10" t="str">
        <f>CONCATENATE("          ","6237", " - ","JANITORIAL SUPPLIES")</f>
        <v xml:space="preserve">          6237 - JANITORIAL SUPPLIES</v>
      </c>
      <c r="C81" s="11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4171.3599999999997</v>
      </c>
      <c r="K81" s="2">
        <v>648.99</v>
      </c>
      <c r="L81" s="2">
        <v>1954.49</v>
      </c>
      <c r="M81" s="2">
        <v>1902.43</v>
      </c>
      <c r="N81" s="2">
        <v>3000</v>
      </c>
      <c r="O81" s="2">
        <v>0</v>
      </c>
      <c r="P81" s="9"/>
      <c r="Q81" s="2">
        <f>SUM(OSRRefD21_15_2x)+IFERROR(SUM(OSRRefE21_15_2x),0)</f>
        <v>24741.720000000005</v>
      </c>
    </row>
    <row r="82" spans="1:17" s="34" customFormat="1" hidden="1" outlineLevel="1" x14ac:dyDescent="0.25">
      <c r="A82" s="35"/>
      <c r="B82" s="10" t="str">
        <f>CONCATENATE("          ","6239", " - ","KITCHEN SUPPLIES")</f>
        <v xml:space="preserve">          6239 - KITCHEN SUPPLIES</v>
      </c>
      <c r="C82" s="11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979.48</v>
      </c>
      <c r="K82" s="2">
        <v>253.3</v>
      </c>
      <c r="L82" s="2">
        <v>39.75</v>
      </c>
      <c r="M82" s="2">
        <v>160.30000000000001</v>
      </c>
      <c r="N82" s="2">
        <v>500</v>
      </c>
      <c r="O82" s="2">
        <v>0</v>
      </c>
      <c r="P82" s="9"/>
      <c r="Q82" s="2">
        <f>SUM(OSRRefD21_15_3x)+IFERROR(SUM(OSRRefE21_15_3x),0)</f>
        <v>7747.3799999999992</v>
      </c>
    </row>
    <row r="83" spans="1:17" s="34" customFormat="1" hidden="1" outlineLevel="1" x14ac:dyDescent="0.25">
      <c r="A83" s="35"/>
      <c r="B83" s="10" t="str">
        <f>CONCATENATE("          ","6241", " - ","OFFICE EXPENSE")</f>
        <v xml:space="preserve">          6241 - OFFICE EXPENSE</v>
      </c>
      <c r="C83" s="11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979.61</v>
      </c>
      <c r="K83" s="2">
        <v>1048.1199999999999</v>
      </c>
      <c r="L83" s="2">
        <v>1406.91</v>
      </c>
      <c r="M83" s="2">
        <v>1258.28</v>
      </c>
      <c r="N83" s="2">
        <v>250</v>
      </c>
      <c r="O83" s="2">
        <v>100</v>
      </c>
      <c r="P83" s="9"/>
      <c r="Q83" s="2">
        <f>SUM(OSRRefD21_15_4x)+IFERROR(SUM(OSRRefE21_15_4x),0)</f>
        <v>8330.7999999999993</v>
      </c>
    </row>
    <row r="84" spans="1:17" s="34" customFormat="1" hidden="1" outlineLevel="1" x14ac:dyDescent="0.25">
      <c r="A84" s="35"/>
      <c r="B84" s="10" t="str">
        <f>CONCATENATE("          ","6243", " - ","PAPER SUPPLIES")</f>
        <v xml:space="preserve">          6243 - PAPER SUPPLIES</v>
      </c>
      <c r="C84" s="11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1706.59</v>
      </c>
      <c r="K84" s="2">
        <v>7200.74</v>
      </c>
      <c r="L84" s="2">
        <v>4088.06</v>
      </c>
      <c r="M84" s="2">
        <v>7034.37</v>
      </c>
      <c r="N84" s="2">
        <v>0</v>
      </c>
      <c r="O84" s="2">
        <v>0</v>
      </c>
      <c r="P84" s="9"/>
      <c r="Q84" s="2">
        <f>SUM(OSRRefD21_15_5x)+IFERROR(SUM(OSRRefE21_15_5x),0)</f>
        <v>35375.919999999998</v>
      </c>
    </row>
    <row r="85" spans="1:17" s="34" customFormat="1" hidden="1" outlineLevel="1" x14ac:dyDescent="0.25">
      <c r="A85" s="35"/>
      <c r="B85" s="10" t="str">
        <f>CONCATENATE("          ","6244", " - ","SAFETY SUPPLY EXPENSE")</f>
        <v xml:space="preserve">          6244 - SAFETY SUPPLY EXPENSE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>
        <v>0</v>
      </c>
      <c r="O85" s="2">
        <v>0</v>
      </c>
      <c r="P85" s="9"/>
      <c r="Q85" s="2">
        <f>SUM(OSRRefD21_15_6x)+IFERROR(SUM(OSRRefE21_15_6x),0)</f>
        <v>0</v>
      </c>
    </row>
    <row r="86" spans="1:17" s="34" customFormat="1" hidden="1" outlineLevel="1" x14ac:dyDescent="0.25">
      <c r="A86" s="35"/>
      <c r="B86" s="10" t="str">
        <f>CONCATENATE("          ","6245", " - ","PRINTING")</f>
        <v xml:space="preserve">          6245 - PRINTING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>
        <v>0</v>
      </c>
      <c r="O86" s="2">
        <v>0</v>
      </c>
      <c r="P86" s="9"/>
      <c r="Q86" s="2">
        <f>SUM(OSRRefD21_15_7x)+IFERROR(SUM(OSRRefE21_15_7x),0)</f>
        <v>0</v>
      </c>
    </row>
    <row r="87" spans="1:17" s="34" customFormat="1" hidden="1" outlineLevel="1" x14ac:dyDescent="0.25">
      <c r="A87" s="35"/>
      <c r="B87" s="10" t="str">
        <f>CONCATENATE("          ","6247", " - ","STORE SUPPLIES")</f>
        <v xml:space="preserve">          6247 - STORE SUPPLIES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>
        <v>18</v>
      </c>
      <c r="O87" s="2">
        <v>0</v>
      </c>
      <c r="P87" s="9"/>
      <c r="Q87" s="2">
        <f>SUM(OSRRefD21_15_8x)+IFERROR(SUM(OSRRefE21_15_8x),0)</f>
        <v>18</v>
      </c>
    </row>
    <row r="88" spans="1:17" s="34" customFormat="1" hidden="1" outlineLevel="1" x14ac:dyDescent="0.25">
      <c r="A88" s="35"/>
      <c r="B88" s="10" t="str">
        <f>CONCATENATE("          ","6248", " - ","UNIFORMS")</f>
        <v xml:space="preserve">          6248 - UNIFORMS</v>
      </c>
      <c r="C88" s="11"/>
      <c r="D88" s="2"/>
      <c r="E88" s="2">
        <v>3510.98</v>
      </c>
      <c r="F88" s="2">
        <v>303.7</v>
      </c>
      <c r="G88" s="2"/>
      <c r="H88" s="2">
        <v>685.91</v>
      </c>
      <c r="I88" s="2"/>
      <c r="J88" s="2"/>
      <c r="K88" s="2"/>
      <c r="L88" s="2"/>
      <c r="M88" s="2"/>
      <c r="N88" s="2">
        <v>350</v>
      </c>
      <c r="O88" s="2">
        <v>0</v>
      </c>
      <c r="P88" s="9"/>
      <c r="Q88" s="2">
        <f>SUM(OSRRefD21_15_9x)+IFERROR(SUM(OSRRefE21_15_9x),0)</f>
        <v>4850.59</v>
      </c>
    </row>
    <row r="89" spans="1:17" s="34" customFormat="1" collapsed="1" x14ac:dyDescent="0.25">
      <c r="A89" s="35"/>
      <c r="B89" s="11" t="str">
        <f>CONCATENATE("     ","Telephone/Data Lines                              ")</f>
        <v xml:space="preserve">     Telephone/Data Lines                              </v>
      </c>
      <c r="C89" s="11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SUM(OSRRefD21_16x_6)</f>
        <v>248</v>
      </c>
      <c r="K89" s="1">
        <f>SUM(OSRRefD21_16x_7)</f>
        <v>248</v>
      </c>
      <c r="L89" s="1">
        <f>SUM(OSRRefD21_16x_8)</f>
        <v>248</v>
      </c>
      <c r="M89" s="1">
        <f>SUM(OSRRefD21_16x_9)</f>
        <v>248</v>
      </c>
      <c r="N89" s="1">
        <f>SUM(OSRRefE21_16x_0)</f>
        <v>725</v>
      </c>
      <c r="O89" s="1">
        <f>SUM(OSRRefE21_16x_1)</f>
        <v>725</v>
      </c>
      <c r="Q89" s="2">
        <f>SUM(OSRRefD20_16x)+IFERROR(SUM(OSRRefE20_16x),0)</f>
        <v>6225.32</v>
      </c>
    </row>
    <row r="90" spans="1:17" s="34" customFormat="1" hidden="1" outlineLevel="1" x14ac:dyDescent="0.25">
      <c r="A90" s="35"/>
      <c r="B90" s="10" t="str">
        <f>CONCATENATE("          ","6303", " - ","DATA PHONE LINES")</f>
        <v xml:space="preserve">          6303 - DATA PHONE LINES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500</v>
      </c>
      <c r="O90" s="2">
        <v>500</v>
      </c>
      <c r="P90" s="9"/>
      <c r="Q90" s="2">
        <f>SUM(OSRRefD21_16_0x)+IFERROR(SUM(OSRRefE21_16_0x),0)</f>
        <v>1000</v>
      </c>
    </row>
    <row r="91" spans="1:17" s="34" customFormat="1" hidden="1" outlineLevel="1" x14ac:dyDescent="0.25">
      <c r="A91" s="35"/>
      <c r="B91" s="10" t="str">
        <f>CONCATENATE("          ","6309", " - ","TELEPHONE")</f>
        <v xml:space="preserve">          6309 - TELEPHONE</v>
      </c>
      <c r="C91" s="11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248</v>
      </c>
      <c r="K91" s="2">
        <v>248</v>
      </c>
      <c r="L91" s="2">
        <v>248</v>
      </c>
      <c r="M91" s="2">
        <v>248</v>
      </c>
      <c r="N91" s="2">
        <v>225</v>
      </c>
      <c r="O91" s="2">
        <v>225</v>
      </c>
      <c r="P91" s="9"/>
      <c r="Q91" s="2">
        <f>SUM(OSRRefD21_16_1x)+IFERROR(SUM(OSRRefE21_16_1x),0)</f>
        <v>5225.32</v>
      </c>
    </row>
    <row r="92" spans="1:17" s="34" customFormat="1" collapsed="1" x14ac:dyDescent="0.25">
      <c r="A92" s="35"/>
      <c r="B92" s="11" t="str">
        <f>CONCATENATE("     ","Training                                          ")</f>
        <v xml:space="preserve">     Training                                          </v>
      </c>
      <c r="C92" s="11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SUM(OSRRefD21_17x_6)</f>
        <v>0</v>
      </c>
      <c r="K92" s="1">
        <f>SUM(OSRRefD21_17x_7)</f>
        <v>0</v>
      </c>
      <c r="L92" s="1">
        <f>SUM(OSRRefD21_17x_8)</f>
        <v>51.23</v>
      </c>
      <c r="M92" s="1">
        <f>SUM(OSRRefD21_17x_9)</f>
        <v>0</v>
      </c>
      <c r="N92" s="1">
        <f>SUM(OSRRefE21_17x_0)</f>
        <v>550</v>
      </c>
      <c r="O92" s="1">
        <f>SUM(OSRRefE21_17x_1)</f>
        <v>550</v>
      </c>
      <c r="Q92" s="2">
        <f>SUM(OSRRefD20_17x)+IFERROR(SUM(OSRRefE20_17x),0)</f>
        <v>1886.23</v>
      </c>
    </row>
    <row r="93" spans="1:17" s="34" customFormat="1" hidden="1" outlineLevel="1" x14ac:dyDescent="0.25">
      <c r="A93" s="35"/>
      <c r="B93" s="10" t="str">
        <f>CONCATENATE("          ","6376", " - ","TRAINING")</f>
        <v xml:space="preserve">          6376 - TRAINING</v>
      </c>
      <c r="C93" s="11"/>
      <c r="D93" s="2"/>
      <c r="E93" s="2">
        <v>350</v>
      </c>
      <c r="F93" s="2"/>
      <c r="G93" s="2">
        <v>385</v>
      </c>
      <c r="H93" s="2"/>
      <c r="I93" s="2"/>
      <c r="J93" s="2"/>
      <c r="K93" s="2"/>
      <c r="L93" s="2">
        <v>51.23</v>
      </c>
      <c r="M93" s="2"/>
      <c r="N93" s="2">
        <v>550</v>
      </c>
      <c r="O93" s="2">
        <v>550</v>
      </c>
      <c r="P93" s="9"/>
      <c r="Q93" s="2">
        <f>SUM(OSRRefD21_17_0x)+IFERROR(SUM(OSRRefE21_17_0x),0)</f>
        <v>1886.23</v>
      </c>
    </row>
    <row r="94" spans="1:17" s="34" customFormat="1" collapsed="1" x14ac:dyDescent="0.25">
      <c r="A94" s="35"/>
      <c r="B94" s="11" t="str">
        <f>CONCATENATE("     ","Travel                                            ")</f>
        <v xml:space="preserve">     Travel                                            </v>
      </c>
      <c r="C94" s="11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SUM(OSRRefD21_18x_6)</f>
        <v>0</v>
      </c>
      <c r="K94" s="1">
        <f>SUM(OSRRefD21_18x_7)</f>
        <v>0</v>
      </c>
      <c r="L94" s="1">
        <f>SUM(OSRRefD21_18x_8)</f>
        <v>0</v>
      </c>
      <c r="M94" s="1">
        <f>SUM(OSRRefD21_18x_9)</f>
        <v>160.30000000000001</v>
      </c>
      <c r="N94" s="1">
        <f>SUM(OSRRefE21_18x_0)</f>
        <v>300</v>
      </c>
      <c r="O94" s="1">
        <f>SUM(OSRRefE21_18x_1)</f>
        <v>300</v>
      </c>
      <c r="Q94" s="2">
        <f>SUM(OSRRefD20_18x)+IFERROR(SUM(OSRRefE20_18x),0)</f>
        <v>760.3</v>
      </c>
    </row>
    <row r="95" spans="1:17" s="34" customFormat="1" hidden="1" outlineLevel="1" x14ac:dyDescent="0.25">
      <c r="A95" s="35"/>
      <c r="B95" s="10" t="str">
        <f>CONCATENATE("          ","6292", " - ","TRAVEL/CONFERENCE")</f>
        <v xml:space="preserve">          6292 - TRAVEL/CONFERENCE</v>
      </c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>
        <v>300</v>
      </c>
      <c r="O95" s="2">
        <v>300</v>
      </c>
      <c r="P95" s="9"/>
      <c r="Q95" s="2">
        <f>SUM(OSRRefD21_18_0x)+IFERROR(SUM(OSRRefE21_18_0x),0)</f>
        <v>600</v>
      </c>
    </row>
    <row r="96" spans="1:17" s="34" customFormat="1" hidden="1" outlineLevel="1" x14ac:dyDescent="0.25">
      <c r="A96" s="35"/>
      <c r="B96" s="10" t="str">
        <f>CONCATENATE("          ","6294", " - ","TRAVEL OPERATIONAL")</f>
        <v xml:space="preserve">          6294 - TRAVEL OPERATIONAL</v>
      </c>
      <c r="C96" s="11"/>
      <c r="D96" s="2"/>
      <c r="E96" s="2"/>
      <c r="F96" s="2"/>
      <c r="G96" s="2"/>
      <c r="H96" s="2"/>
      <c r="I96" s="2"/>
      <c r="J96" s="2"/>
      <c r="K96" s="2"/>
      <c r="L96" s="2"/>
      <c r="M96" s="2">
        <v>160.30000000000001</v>
      </c>
      <c r="N96" s="2"/>
      <c r="O96" s="2"/>
      <c r="P96" s="9"/>
      <c r="Q96" s="2">
        <f>SUM(OSRRefD21_18_1x)+IFERROR(SUM(OSRRefE21_18_1x),0)</f>
        <v>160.30000000000001</v>
      </c>
    </row>
    <row r="97" spans="1:17" s="30" customFormat="1" x14ac:dyDescent="0.25">
      <c r="A97" s="21"/>
      <c r="B97" s="21"/>
      <c r="C97" s="2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Q97" s="1"/>
    </row>
    <row r="98" spans="1:17" s="9" customFormat="1" x14ac:dyDescent="0.25">
      <c r="A98" s="23"/>
      <c r="B98" s="16" t="s">
        <v>291</v>
      </c>
      <c r="C98" s="22"/>
      <c r="D98" s="3">
        <f t="shared" ref="D98:M98" si="5">0</f>
        <v>0</v>
      </c>
      <c r="E98" s="3">
        <f t="shared" si="5"/>
        <v>0</v>
      </c>
      <c r="F98" s="3">
        <f t="shared" si="5"/>
        <v>0</v>
      </c>
      <c r="G98" s="3">
        <f t="shared" si="5"/>
        <v>0</v>
      </c>
      <c r="H98" s="3">
        <f t="shared" si="5"/>
        <v>0</v>
      </c>
      <c r="I98" s="3">
        <f t="shared" si="5"/>
        <v>0</v>
      </c>
      <c r="J98" s="3">
        <f t="shared" si="5"/>
        <v>0</v>
      </c>
      <c r="K98" s="3">
        <f t="shared" si="5"/>
        <v>0</v>
      </c>
      <c r="L98" s="3">
        <f t="shared" si="5"/>
        <v>0</v>
      </c>
      <c r="M98" s="3">
        <f t="shared" si="5"/>
        <v>0</v>
      </c>
      <c r="N98" s="3"/>
      <c r="O98" s="3"/>
      <c r="Q98" s="2">
        <f>SUM(OSRRefD23_0x)+IFERROR(SUM(OSRRefE23_0x),0)</f>
        <v>0</v>
      </c>
    </row>
    <row r="99" spans="1:17" x14ac:dyDescent="0.25">
      <c r="A99" s="5"/>
      <c r="B99" s="6"/>
      <c r="C99" s="6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25">
      <c r="A100" s="6"/>
      <c r="B100" s="17" t="s">
        <v>274</v>
      </c>
      <c r="C100" s="17"/>
      <c r="D100" s="8">
        <f t="shared" ref="D100:O100" si="6">IFERROR(+D21-D24+D98, 0)</f>
        <v>-178331.69999999995</v>
      </c>
      <c r="E100" s="8">
        <f t="shared" si="6"/>
        <v>-194336.87</v>
      </c>
      <c r="F100" s="8">
        <f t="shared" si="6"/>
        <v>-63156.22</v>
      </c>
      <c r="G100" s="8">
        <f t="shared" si="6"/>
        <v>-209343.61999999997</v>
      </c>
      <c r="H100" s="8">
        <f t="shared" si="6"/>
        <v>-174656.76</v>
      </c>
      <c r="I100" s="8">
        <f t="shared" si="6"/>
        <v>-198007.27999999997</v>
      </c>
      <c r="J100" s="8">
        <f t="shared" si="6"/>
        <v>-175709.98000000004</v>
      </c>
      <c r="K100" s="8">
        <f t="shared" si="6"/>
        <v>-169656.60999999996</v>
      </c>
      <c r="L100" s="8">
        <f t="shared" si="6"/>
        <v>-175959.92</v>
      </c>
      <c r="M100" s="8">
        <f t="shared" si="6"/>
        <v>-202722.23000000004</v>
      </c>
      <c r="N100" s="8">
        <f t="shared" si="6"/>
        <v>-193552.86021420313</v>
      </c>
      <c r="O100" s="8">
        <f t="shared" si="6"/>
        <v>-210651.29021420312</v>
      </c>
      <c r="Q100" s="8">
        <f>IFERROR(+Q21-Q24+Q98, 0)</f>
        <v>-2146085.3404284064</v>
      </c>
    </row>
    <row r="101" spans="1:17" s="6" customFormat="1" x14ac:dyDescent="0.25">
      <c r="B101" s="16"/>
      <c r="C101" s="16"/>
      <c r="D101" s="4">
        <f t="shared" ref="D101:O101" si="7">IFERROR(D100/D10, 0)</f>
        <v>-9.2266369066097109</v>
      </c>
      <c r="E101" s="4">
        <f t="shared" si="7"/>
        <v>-3.9001476677407596</v>
      </c>
      <c r="F101" s="4">
        <f t="shared" si="7"/>
        <v>-0.284033305662864</v>
      </c>
      <c r="G101" s="4">
        <f t="shared" si="7"/>
        <v>-1.3758954437445687</v>
      </c>
      <c r="H101" s="4">
        <f t="shared" si="7"/>
        <v>-1.6208069218072825</v>
      </c>
      <c r="I101" s="4">
        <f t="shared" si="7"/>
        <v>-2.3273365482307482</v>
      </c>
      <c r="J101" s="4">
        <f t="shared" si="7"/>
        <v>-4.5935868594800429</v>
      </c>
      <c r="K101" s="4">
        <f t="shared" si="7"/>
        <v>-2.0043936629366188</v>
      </c>
      <c r="L101" s="4">
        <f t="shared" si="7"/>
        <v>-1.916842798556899</v>
      </c>
      <c r="M101" s="4">
        <f t="shared" si="7"/>
        <v>-2.2483275530553222</v>
      </c>
      <c r="N101" s="4">
        <f t="shared" si="7"/>
        <v>-2.3504828432978302</v>
      </c>
      <c r="O101" s="4">
        <f t="shared" si="7"/>
        <v>0</v>
      </c>
      <c r="P101" s="18"/>
      <c r="Q101" s="4">
        <f>IFERROR(Q100/Q10, 0)</f>
        <v>-2.096396754200033</v>
      </c>
    </row>
    <row r="102" spans="1:17" x14ac:dyDescent="0.25">
      <c r="A102" s="5"/>
      <c r="B102" s="6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25"/>
      <c r="B103" s="6" t="s">
        <v>125</v>
      </c>
      <c r="C103" s="6"/>
      <c r="D103" s="3">
        <v>9295.7000000000007</v>
      </c>
      <c r="E103" s="3">
        <v>2380.36</v>
      </c>
      <c r="F103" s="3">
        <v>42327.8</v>
      </c>
      <c r="G103" s="3">
        <v>42102.83</v>
      </c>
      <c r="H103" s="3">
        <v>-8485.89</v>
      </c>
      <c r="I103" s="3">
        <v>30145.14</v>
      </c>
      <c r="J103" s="3">
        <v>4719.22</v>
      </c>
      <c r="K103" s="3">
        <v>27901.9</v>
      </c>
      <c r="L103" s="3">
        <v>25036</v>
      </c>
      <c r="M103" s="3">
        <v>21512.41</v>
      </c>
      <c r="N103" s="3">
        <v>42640</v>
      </c>
      <c r="O103" s="3">
        <v>7034</v>
      </c>
      <c r="Q103" s="2">
        <f>SUM(OSRRefD28_0x)+IFERROR(SUM(OSRRefE28_0x),0)</f>
        <v>246609.47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.75" thickBot="1" x14ac:dyDescent="0.3">
      <c r="A105" s="6"/>
      <c r="B105" s="17" t="s">
        <v>124</v>
      </c>
      <c r="C105" s="17"/>
      <c r="D105" s="7">
        <f t="shared" ref="D105:O105" si="8">IFERROR(+D100-D103, 0)</f>
        <v>-187627.39999999997</v>
      </c>
      <c r="E105" s="7">
        <f t="shared" si="8"/>
        <v>-196717.22999999998</v>
      </c>
      <c r="F105" s="7">
        <f t="shared" si="8"/>
        <v>-105484.02</v>
      </c>
      <c r="G105" s="7">
        <f t="shared" si="8"/>
        <v>-251446.44999999995</v>
      </c>
      <c r="H105" s="7">
        <f t="shared" si="8"/>
        <v>-166170.87</v>
      </c>
      <c r="I105" s="7">
        <f t="shared" si="8"/>
        <v>-228152.41999999998</v>
      </c>
      <c r="J105" s="7">
        <f t="shared" si="8"/>
        <v>-180429.20000000004</v>
      </c>
      <c r="K105" s="7">
        <f t="shared" si="8"/>
        <v>-197558.50999999995</v>
      </c>
      <c r="L105" s="7">
        <f t="shared" si="8"/>
        <v>-200995.92</v>
      </c>
      <c r="M105" s="7">
        <f t="shared" si="8"/>
        <v>-224234.64000000004</v>
      </c>
      <c r="N105" s="7">
        <f t="shared" si="8"/>
        <v>-236192.86021420313</v>
      </c>
      <c r="O105" s="7">
        <f t="shared" si="8"/>
        <v>-217685.29021420312</v>
      </c>
      <c r="Q105" s="7">
        <f>IFERROR(+Q100-Q103, 0)</f>
        <v>-2392694.8104284066</v>
      </c>
    </row>
    <row r="106" spans="1:17" ht="15.75" thickTop="1" x14ac:dyDescent="0.25">
      <c r="A106" s="5"/>
      <c r="B106" s="5"/>
      <c r="C106" s="5"/>
      <c r="D106" s="4">
        <f t="shared" ref="D106:O106" si="9">IFERROR(D105/D10, 0)</f>
        <v>-9.7075836406607632</v>
      </c>
      <c r="E106" s="4">
        <f t="shared" si="9"/>
        <v>-3.9479191251198116</v>
      </c>
      <c r="F106" s="4">
        <f t="shared" si="9"/>
        <v>-0.47439468187310224</v>
      </c>
      <c r="G106" s="4">
        <f t="shared" si="9"/>
        <v>-1.6526131768465</v>
      </c>
      <c r="H106" s="4">
        <f t="shared" si="9"/>
        <v>-1.5420582421129196</v>
      </c>
      <c r="I106" s="4">
        <f t="shared" si="9"/>
        <v>-2.6816562786645619</v>
      </c>
      <c r="J106" s="4">
        <f t="shared" si="9"/>
        <v>-4.7169614508321978</v>
      </c>
      <c r="K106" s="4">
        <f t="shared" si="9"/>
        <v>-2.3340382994992099</v>
      </c>
      <c r="L106" s="4">
        <f t="shared" si="9"/>
        <v>-2.18957579539317</v>
      </c>
      <c r="M106" s="4">
        <f t="shared" si="9"/>
        <v>-2.4869148265655974</v>
      </c>
      <c r="N106" s="4">
        <f t="shared" si="9"/>
        <v>-2.868297916282553</v>
      </c>
      <c r="O106" s="4">
        <f t="shared" si="9"/>
        <v>0</v>
      </c>
      <c r="P106" s="18"/>
      <c r="Q106" s="4">
        <f>IFERROR(Q105/Q10, 0)</f>
        <v>-2.3372964438460131</v>
      </c>
    </row>
    <row r="107" spans="1:17" x14ac:dyDescent="0.2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x14ac:dyDescent="0.25">
      <c r="A108" s="5"/>
      <c r="B108" s="5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ht="15.75" thickBot="1" x14ac:dyDescent="0.3">
      <c r="A109" s="6"/>
      <c r="B109" s="17" t="s">
        <v>292</v>
      </c>
      <c r="C109" s="17"/>
      <c r="D109" s="7">
        <f t="shared" ref="D109:O109" si="10">IFERROR(SUM(D105:D108), 0)</f>
        <v>-187637.10758364064</v>
      </c>
      <c r="E109" s="7">
        <f t="shared" si="10"/>
        <v>-196721.1779191251</v>
      </c>
      <c r="F109" s="7">
        <f t="shared" si="10"/>
        <v>-105484.49439468188</v>
      </c>
      <c r="G109" s="7">
        <f t="shared" si="10"/>
        <v>-251448.1026131768</v>
      </c>
      <c r="H109" s="7">
        <f t="shared" si="10"/>
        <v>-166172.4120582421</v>
      </c>
      <c r="I109" s="7">
        <f t="shared" si="10"/>
        <v>-228155.10165627865</v>
      </c>
      <c r="J109" s="7">
        <f t="shared" si="10"/>
        <v>-180433.91696145089</v>
      </c>
      <c r="K109" s="7">
        <f t="shared" si="10"/>
        <v>-197560.84403829946</v>
      </c>
      <c r="L109" s="7">
        <f t="shared" si="10"/>
        <v>-200998.10957579542</v>
      </c>
      <c r="M109" s="7">
        <f t="shared" si="10"/>
        <v>-224237.1269148266</v>
      </c>
      <c r="N109" s="7">
        <f t="shared" si="10"/>
        <v>-236195.72851211941</v>
      </c>
      <c r="O109" s="7">
        <f t="shared" si="10"/>
        <v>-217685.29021420312</v>
      </c>
      <c r="Q109" s="7">
        <f>IFERROR(SUM(Q105:Q108), 0)</f>
        <v>-2392697.1477248506</v>
      </c>
    </row>
    <row r="110" spans="1:17" ht="15.75" thickTop="1" x14ac:dyDescent="0.25">
      <c r="A110" s="5"/>
      <c r="C110" s="5"/>
      <c r="D110" s="4">
        <f t="shared" ref="D110:O110" si="11">IFERROR(D109/D10, 0)</f>
        <v>-9.7080858976879387</v>
      </c>
      <c r="E110" s="4">
        <f t="shared" si="11"/>
        <v>-3.94799835592953</v>
      </c>
      <c r="F110" s="4">
        <f t="shared" si="11"/>
        <v>-0.47439681537459555</v>
      </c>
      <c r="G110" s="4">
        <f t="shared" si="11"/>
        <v>-1.6526240385242541</v>
      </c>
      <c r="H110" s="4">
        <f t="shared" si="11"/>
        <v>-1.5420725523444425</v>
      </c>
      <c r="I110" s="4">
        <f t="shared" si="11"/>
        <v>-2.6816877982969065</v>
      </c>
      <c r="J110" s="4">
        <f t="shared" si="11"/>
        <v>-4.7170847663782887</v>
      </c>
      <c r="K110" s="4">
        <f t="shared" si="11"/>
        <v>-2.334065874797199</v>
      </c>
      <c r="L110" s="4">
        <f t="shared" si="11"/>
        <v>-2.1895996478284028</v>
      </c>
      <c r="M110" s="4">
        <f t="shared" si="11"/>
        <v>-2.4869424081442264</v>
      </c>
      <c r="N110" s="4">
        <f t="shared" si="11"/>
        <v>-2.8683327485502566</v>
      </c>
      <c r="O110" s="4">
        <f t="shared" si="11"/>
        <v>0</v>
      </c>
      <c r="P110" s="18"/>
      <c r="Q110" s="4">
        <f>IFERROR(Q109/Q10, 0)</f>
        <v>-2.3372987270267362</v>
      </c>
    </row>
    <row r="111" spans="1:17" x14ac:dyDescent="0.25">
      <c r="A111" s="5"/>
      <c r="B111" s="27">
        <v>44330.012668784722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  <row r="112" spans="1:17" x14ac:dyDescent="0.25">
      <c r="A112" s="5"/>
      <c r="B112" s="31" t="s">
        <v>54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Q112" s="13"/>
    </row>
    <row r="113" spans="1:17" x14ac:dyDescent="0.25">
      <c r="A113" s="5"/>
      <c r="B113" s="26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Q113" s="13"/>
    </row>
    <row r="114" spans="1:17" x14ac:dyDescent="0.25"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Q11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21521.99</v>
      </c>
      <c r="E17" s="14">
        <f>SUM(OSRRefD20x_1)</f>
        <v>10800.34</v>
      </c>
      <c r="F17" s="14">
        <f>SUM(OSRRefD20x_2)</f>
        <v>14907.630000000001</v>
      </c>
      <c r="G17" s="14">
        <f>SUM(OSRRefD20x_3)</f>
        <v>18225.39</v>
      </c>
      <c r="H17" s="14">
        <f>SUM(OSRRefD20x_4)</f>
        <v>14697.869999999999</v>
      </c>
      <c r="I17" s="14">
        <f>SUM(OSRRefD20x_5)</f>
        <v>17675.349999999999</v>
      </c>
      <c r="J17" s="14">
        <f>SUM(OSRRefD20x_6)</f>
        <v>20118.95</v>
      </c>
      <c r="K17" s="14">
        <f>SUM(OSRRefD20x_7)</f>
        <v>17844.22</v>
      </c>
      <c r="L17" s="14">
        <f>SUM(OSRRefD20x_8)</f>
        <v>17485.55</v>
      </c>
      <c r="M17" s="14">
        <f>SUM(OSRRefD20x_9)</f>
        <v>18741.91</v>
      </c>
      <c r="N17" s="14">
        <f>SUM(OSRRefE20x_0)</f>
        <v>17301.532740000002</v>
      </c>
      <c r="O17" s="14">
        <f>SUM(OSRRefE20x_1)</f>
        <v>17301.532740000002</v>
      </c>
      <c r="Q17" s="14">
        <f>SUM(OSRRefG20x)</f>
        <v>206622.26548</v>
      </c>
    </row>
    <row r="18" spans="1:17" s="34" customFormat="1" collapsed="1" x14ac:dyDescent="0.25">
      <c r="A18" s="35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SUM(OSRRefD21_0x_7)</f>
        <v>5309.6799999999994</v>
      </c>
      <c r="L18" s="1">
        <f>SUM(OSRRefD21_0x_8)</f>
        <v>4899.78</v>
      </c>
      <c r="M18" s="1">
        <f>SUM(OSRRefD21_0x_9)</f>
        <v>6282.49</v>
      </c>
      <c r="N18" s="1">
        <f>SUM(OSRRefE21_0x_0)</f>
        <v>4291.4327400000002</v>
      </c>
      <c r="O18" s="1">
        <f>SUM(OSRRefE21_0x_1)</f>
        <v>4291.4327400000002</v>
      </c>
      <c r="Q18" s="2">
        <f>SUM(OSRRefD20_0x)+IFERROR(SUM(OSRRefE20_0x),0)</f>
        <v>66545.665479999996</v>
      </c>
    </row>
    <row r="19" spans="1:17" s="34" customFormat="1" hidden="1" outlineLevel="1" x14ac:dyDescent="0.25">
      <c r="A19" s="35"/>
      <c r="B19" s="10" t="str">
        <f>CONCATENATE("          ","6111", " - ","F.I.C.A.")</f>
        <v xml:space="preserve">          6111 - F.I.C.A.</v>
      </c>
      <c r="C19" s="11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691.15</v>
      </c>
      <c r="L19" s="2">
        <v>691.15</v>
      </c>
      <c r="M19" s="2">
        <v>1039.5899999999999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9156.6514799999986</v>
      </c>
    </row>
    <row r="20" spans="1:17" s="34" customFormat="1" hidden="1" outlineLevel="1" x14ac:dyDescent="0.25">
      <c r="A20" s="35"/>
      <c r="B20" s="10" t="str">
        <f>CONCATENATE("          ","6112", " - ","COMPENSATION INSURANCE")</f>
        <v xml:space="preserve">          6112 - COMPENSATION INSURANCE</v>
      </c>
      <c r="C20" s="11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387.58</v>
      </c>
      <c r="L20" s="2">
        <v>387.58</v>
      </c>
      <c r="M20" s="2">
        <v>387.58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4929.6864000000005</v>
      </c>
    </row>
    <row r="21" spans="1:17" s="34" customFormat="1" hidden="1" outlineLevel="1" x14ac:dyDescent="0.25">
      <c r="A21" s="35"/>
      <c r="B21" s="10" t="str">
        <f>CONCATENATE("          ","6113", " - ","GROUP INSURANCE")</f>
        <v xml:space="preserve">          6113 - GROUP INSURANCE</v>
      </c>
      <c r="C21" s="11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2691.73</v>
      </c>
      <c r="L21" s="2">
        <v>2691.73</v>
      </c>
      <c r="M21" s="2">
        <v>2691.73</v>
      </c>
      <c r="N21" s="2">
        <v>1980</v>
      </c>
      <c r="O21" s="2">
        <v>1980</v>
      </c>
      <c r="P21" s="9"/>
      <c r="Q21" s="2">
        <f>SUM(OSRRefD21_0_2x)+IFERROR(SUM(OSRRefE21_0_2x),0)</f>
        <v>31154.32</v>
      </c>
    </row>
    <row r="22" spans="1:17" s="34" customFormat="1" hidden="1" outlineLevel="1" x14ac:dyDescent="0.25">
      <c r="A22" s="35"/>
      <c r="B22" s="10" t="str">
        <f>CONCATENATE("          ","6114", " - ","STATE UNEMPLOYMENT INSURANCE")</f>
        <v xml:space="preserve">          6114 - STATE UNEMPLOYMENT INSURANCE</v>
      </c>
      <c r="C22" s="11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23.49</v>
      </c>
      <c r="L22" s="2">
        <v>23.49</v>
      </c>
      <c r="M22" s="2">
        <v>23.49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298.7516</v>
      </c>
    </row>
    <row r="23" spans="1:17" s="34" customFormat="1" hidden="1" outlineLevel="1" x14ac:dyDescent="0.25">
      <c r="A23" s="35"/>
      <c r="B23" s="10" t="str">
        <f>CONCATENATE("          ","6115", " - ","P.E.R.S.")</f>
        <v xml:space="preserve">          6115 - P.E.R.S.</v>
      </c>
      <c r="C23" s="11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692.57</v>
      </c>
      <c r="L23" s="2">
        <v>692.57</v>
      </c>
      <c r="M23" s="2">
        <v>692.57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9159.0559999999987</v>
      </c>
    </row>
    <row r="24" spans="1:17" s="34" customFormat="1" hidden="1" outlineLevel="1" x14ac:dyDescent="0.25">
      <c r="A24" s="35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0" t="str">
        <f>CONCATENATE("          ","6118", " - ","VACATION")</f>
        <v xml:space="preserve">          6118 - VACATION</v>
      </c>
      <c r="C25" s="11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827.64</v>
      </c>
      <c r="K25" s="2">
        <v>409.9</v>
      </c>
      <c r="L25" s="2"/>
      <c r="M25" s="2">
        <v>827.64</v>
      </c>
      <c r="N25" s="2">
        <v>268.74</v>
      </c>
      <c r="O25" s="2">
        <v>268.74</v>
      </c>
      <c r="P25" s="9"/>
      <c r="Q25" s="2">
        <f>SUM(OSRRefD21_0_6x)+IFERROR(SUM(OSRRefE21_0_6x),0)</f>
        <v>6775.02</v>
      </c>
    </row>
    <row r="26" spans="1:17" s="34" customFormat="1" hidden="1" outlineLevel="1" x14ac:dyDescent="0.25">
      <c r="A26" s="35"/>
      <c r="B26" s="10" t="str">
        <f>CONCATENATE("          ","6119", " - ","SICK LEAVE")</f>
        <v xml:space="preserve">          6119 - SICK LEAVE</v>
      </c>
      <c r="C26" s="11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413.26</v>
      </c>
      <c r="K26" s="2">
        <v>413.26</v>
      </c>
      <c r="L26" s="2">
        <v>413.26</v>
      </c>
      <c r="M26" s="2">
        <v>619.89</v>
      </c>
      <c r="N26" s="2">
        <v>179.16</v>
      </c>
      <c r="O26" s="2">
        <v>179.16</v>
      </c>
      <c r="P26" s="9"/>
      <c r="Q26" s="2">
        <f>SUM(OSRRefD21_0_7x)+IFERROR(SUM(OSRRefE21_0_7x),0)</f>
        <v>4904.1800000000012</v>
      </c>
    </row>
    <row r="27" spans="1:17" s="34" customFormat="1" hidden="1" outlineLevel="1" x14ac:dyDescent="0.25">
      <c r="A27" s="35"/>
      <c r="B27" s="10" t="str">
        <f>CONCATENATE("          ","6156", " - ","EMPLOYEE MEALS")</f>
        <v xml:space="preserve">          6156 - EMPLOYEE MEALS</v>
      </c>
      <c r="C27" s="11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4" customFormat="1" collapsed="1" x14ac:dyDescent="0.25">
      <c r="A28" s="35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SUM(OSRRefD21_1x_6)</f>
        <v>10826.56</v>
      </c>
      <c r="K28" s="1">
        <f>SUM(OSRRefD21_1x_7)</f>
        <v>9034.5400000000009</v>
      </c>
      <c r="L28" s="1">
        <f>SUM(OSRRefD21_1x_8)</f>
        <v>9034.5400000000009</v>
      </c>
      <c r="M28" s="1">
        <f>SUM(OSRRefD21_1x_9)</f>
        <v>8959.42</v>
      </c>
      <c r="N28" s="1">
        <f>SUM(OSRRefE21_1x_0)</f>
        <v>8510.1</v>
      </c>
      <c r="O28" s="1">
        <f>SUM(OSRRefE21_1x_1)</f>
        <v>8510.1</v>
      </c>
      <c r="Q28" s="2">
        <f>SUM(OSRRefD20_1x)+IFERROR(SUM(OSRRefE20_1x),0)</f>
        <v>108184.51999999999</v>
      </c>
    </row>
    <row r="29" spans="1:17" s="34" customFormat="1" hidden="1" outlineLevel="1" x14ac:dyDescent="0.25">
      <c r="A29" s="35"/>
      <c r="B29" s="10" t="str">
        <f>CONCATENATE("          ","6001", " - ","ADMINISTRATIVE SALARIES")</f>
        <v xml:space="preserve">          6001 - ADMINISTRATIVE SALARIES</v>
      </c>
      <c r="C29" s="11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10826.56</v>
      </c>
      <c r="K29" s="2">
        <v>9034.5400000000009</v>
      </c>
      <c r="L29" s="2">
        <v>9034.5400000000009</v>
      </c>
      <c r="M29" s="2">
        <v>8959.42</v>
      </c>
      <c r="N29" s="2">
        <v>0</v>
      </c>
      <c r="O29" s="2">
        <v>0</v>
      </c>
      <c r="P29" s="9"/>
      <c r="Q29" s="2">
        <f>SUM(OSRRefD21_1_0x)+IFERROR(SUM(OSRRefE21_1_0x),0)</f>
        <v>91164.319999999992</v>
      </c>
    </row>
    <row r="30" spans="1:17" s="34" customFormat="1" hidden="1" outlineLevel="1" x14ac:dyDescent="0.25">
      <c r="A30" s="35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>
        <v>8510.1</v>
      </c>
      <c r="O30" s="2">
        <v>8510.1</v>
      </c>
      <c r="P30" s="9"/>
      <c r="Q30" s="2">
        <f>SUM(OSRRefD21_1_1x)+IFERROR(SUM(OSRRefE21_1_1x),0)</f>
        <v>17020.2</v>
      </c>
    </row>
    <row r="31" spans="1:17" s="34" customFormat="1" hidden="1" outlineLevel="1" x14ac:dyDescent="0.25">
      <c r="A31" s="35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SUM(OSRRefE21_2x_0)</f>
        <v>0</v>
      </c>
      <c r="O39" s="1">
        <f>SUM(OSRRefE21_2x_1)</f>
        <v>0</v>
      </c>
      <c r="Q39" s="2">
        <f>SUM(OSRRefD20_2x)+IFERROR(SUM(OSRRefE20_2x),0)</f>
        <v>1.65</v>
      </c>
    </row>
    <row r="40" spans="1:17" s="34" customFormat="1" hidden="1" outlineLevel="1" x14ac:dyDescent="0.25">
      <c r="A40" s="35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4" customFormat="1" collapsed="1" x14ac:dyDescent="0.25">
      <c r="A41" s="35"/>
      <c r="B41" s="11" t="str">
        <f>CONCATENATE("     ","Repair and Maintenance                            ")</f>
        <v xml:space="preserve">     Repair and Maintenance                            </v>
      </c>
      <c r="C41" s="11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SUM(OSRRefD21_3x_6)</f>
        <v>3500</v>
      </c>
      <c r="K41" s="1">
        <f>SUM(OSRRefD21_3x_7)</f>
        <v>3500</v>
      </c>
      <c r="L41" s="1">
        <f>SUM(OSRRefD21_3x_8)</f>
        <v>3500</v>
      </c>
      <c r="M41" s="1">
        <f>SUM(OSRRefD21_3x_9)</f>
        <v>3500</v>
      </c>
      <c r="N41" s="1">
        <f>SUM(OSRRefE21_3x_0)</f>
        <v>3500</v>
      </c>
      <c r="O41" s="1">
        <f>SUM(OSRRefE21_3x_1)</f>
        <v>3500</v>
      </c>
      <c r="Q41" s="2">
        <f>SUM(OSRRefD20_3x)+IFERROR(SUM(OSRRefE20_3x),0)</f>
        <v>24500</v>
      </c>
    </row>
    <row r="42" spans="1:17" s="34" customFormat="1" hidden="1" outlineLevel="1" x14ac:dyDescent="0.25">
      <c r="A42" s="35"/>
      <c r="B42" s="10" t="str">
        <f>CONCATENATE("          ","6371", " - ","COMPUTER SOFTWARE MAINTENANCE")</f>
        <v xml:space="preserve">          6371 - COMPUTER SOFTWARE MAINTENANCE</v>
      </c>
      <c r="C42" s="11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4" customFormat="1" collapsed="1" x14ac:dyDescent="0.25">
      <c r="A43" s="35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0</v>
      </c>
      <c r="N43" s="1">
        <f>SUM(OSRRefE21_4x_0)</f>
        <v>400</v>
      </c>
      <c r="O43" s="1">
        <f>SUM(OSRRefE21_4x_1)</f>
        <v>400</v>
      </c>
      <c r="Q43" s="2">
        <f>SUM(OSRRefD20_4x)+IFERROR(SUM(OSRRefE20_4x),0)</f>
        <v>5739.2</v>
      </c>
    </row>
    <row r="44" spans="1:17" s="34" customFormat="1" hidden="1" outlineLevel="1" x14ac:dyDescent="0.25">
      <c r="A44" s="35"/>
      <c r="B44" s="10" t="str">
        <f>CONCATENATE("          ","6234", " - ","EXPENDABLE SUPPLIES &amp; EQUIPMEN")</f>
        <v xml:space="preserve">          6234 - EXPENDABLE SUPPLIES &amp; EQUIPMEN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100</v>
      </c>
      <c r="O44" s="2">
        <v>100</v>
      </c>
      <c r="P44" s="9"/>
      <c r="Q44" s="2">
        <f>SUM(OSRRefD21_4_0x)+IFERROR(SUM(OSRRefE21_4_0x),0)</f>
        <v>200</v>
      </c>
    </row>
    <row r="45" spans="1:17" s="34" customFormat="1" hidden="1" outlineLevel="1" x14ac:dyDescent="0.25">
      <c r="A45" s="35"/>
      <c r="B45" s="10" t="str">
        <f>CONCATENATE("          ","6235", " - ","COVID-19 EXPENSES")</f>
        <v xml:space="preserve">          6235 - COVID-19 EXPENSES</v>
      </c>
      <c r="C45" s="11"/>
      <c r="D45" s="2">
        <v>4939.2</v>
      </c>
      <c r="E45" s="2"/>
      <c r="F45" s="2"/>
      <c r="G45" s="2"/>
      <c r="H45" s="2"/>
      <c r="I45" s="2"/>
      <c r="J45" s="2"/>
      <c r="K45" s="2"/>
      <c r="L45" s="2"/>
      <c r="M45" s="2"/>
      <c r="N45" s="2">
        <v>200</v>
      </c>
      <c r="O45" s="2">
        <v>200</v>
      </c>
      <c r="P45" s="9"/>
      <c r="Q45" s="2">
        <f>SUM(OSRRefD21_4_1x)+IFERROR(SUM(OSRRefE21_4_1x),0)</f>
        <v>5339.2</v>
      </c>
    </row>
    <row r="46" spans="1:17" s="34" customFormat="1" hidden="1" outlineLevel="1" x14ac:dyDescent="0.25">
      <c r="A46" s="35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100</v>
      </c>
      <c r="O46" s="2">
        <v>100</v>
      </c>
      <c r="P46" s="9"/>
      <c r="Q46" s="2">
        <f>SUM(OSRRefD21_4_2x)+IFERROR(SUM(OSRRefE21_4_2x),0)</f>
        <v>200</v>
      </c>
    </row>
    <row r="47" spans="1:17" s="34" customFormat="1" collapsed="1" x14ac:dyDescent="0.25">
      <c r="A47" s="35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SUM(OSRRefE21_5x_0)</f>
        <v>100</v>
      </c>
      <c r="O47" s="1">
        <f>SUM(OSRRefE21_5x_1)</f>
        <v>100</v>
      </c>
      <c r="Q47" s="2">
        <f>SUM(OSRRefD20_5x)+IFERROR(SUM(OSRRefE20_5x),0)</f>
        <v>600</v>
      </c>
    </row>
    <row r="48" spans="1:17" s="34" customFormat="1" hidden="1" outlineLevel="1" x14ac:dyDescent="0.25">
      <c r="A48" s="35"/>
      <c r="B48" s="10" t="str">
        <f>CONCATENATE("          ","6303", " - ","DATA PHONE LINES")</f>
        <v xml:space="preserve">          6303 - DATA PHONE LINES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50</v>
      </c>
      <c r="O48" s="2">
        <v>50</v>
      </c>
      <c r="P48" s="9"/>
      <c r="Q48" s="2">
        <f>SUM(OSRRefD21_5_0x)+IFERROR(SUM(OSRRefE21_5_0x),0)</f>
        <v>100</v>
      </c>
    </row>
    <row r="49" spans="1:17" s="34" customFormat="1" hidden="1" outlineLevel="1" x14ac:dyDescent="0.25">
      <c r="A49" s="35"/>
      <c r="B49" s="10" t="str">
        <f>CONCATENATE("          ","6309", " - ","TELEPHONE")</f>
        <v xml:space="preserve">          6309 - TELEPHONE</v>
      </c>
      <c r="C49" s="11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>
        <v>0</v>
      </c>
      <c r="K49" s="2">
        <v>0</v>
      </c>
      <c r="L49" s="2">
        <v>0</v>
      </c>
      <c r="M49" s="2">
        <v>0</v>
      </c>
      <c r="N49" s="2">
        <v>50</v>
      </c>
      <c r="O49" s="2">
        <v>50</v>
      </c>
      <c r="P49" s="9"/>
      <c r="Q49" s="2">
        <f>SUM(OSRRefD21_5_1x)+IFERROR(SUM(OSRRefE21_5_1x),0)</f>
        <v>500</v>
      </c>
    </row>
    <row r="50" spans="1:17" s="34" customFormat="1" collapsed="1" x14ac:dyDescent="0.25">
      <c r="A50" s="35"/>
      <c r="B50" s="11" t="str">
        <f>CONCATENATE("     ","Training                                          ")</f>
        <v xml:space="preserve">     Training            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51.23</v>
      </c>
      <c r="M50" s="1">
        <f>SUM(OSRRefD21_6x_9)</f>
        <v>0</v>
      </c>
      <c r="N50" s="1">
        <f>SUM(OSRRefE21_6x_0)</f>
        <v>200</v>
      </c>
      <c r="O50" s="1">
        <f>SUM(OSRRefE21_6x_1)</f>
        <v>200</v>
      </c>
      <c r="Q50" s="2">
        <f>SUM(OSRRefD20_6x)+IFERROR(SUM(OSRRefE20_6x),0)</f>
        <v>451.23</v>
      </c>
    </row>
    <row r="51" spans="1:17" s="34" customFormat="1" hidden="1" outlineLevel="1" x14ac:dyDescent="0.25">
      <c r="A51" s="35"/>
      <c r="B51" s="10" t="str">
        <f>CONCATENATE("          ","6376", " - ","TRAINING")</f>
        <v xml:space="preserve">          6376 - TRAINING</v>
      </c>
      <c r="C51" s="11"/>
      <c r="D51" s="2"/>
      <c r="E51" s="2"/>
      <c r="F51" s="2"/>
      <c r="G51" s="2"/>
      <c r="H51" s="2"/>
      <c r="I51" s="2"/>
      <c r="J51" s="2"/>
      <c r="K51" s="2"/>
      <c r="L51" s="2">
        <v>51.23</v>
      </c>
      <c r="M51" s="2"/>
      <c r="N51" s="2">
        <v>200</v>
      </c>
      <c r="O51" s="2">
        <v>200</v>
      </c>
      <c r="P51" s="9"/>
      <c r="Q51" s="2">
        <f>SUM(OSRRefD21_6_0x)+IFERROR(SUM(OSRRefE21_6_0x),0)</f>
        <v>451.23</v>
      </c>
    </row>
    <row r="52" spans="1:17" s="34" customFormat="1" collapsed="1" x14ac:dyDescent="0.25">
      <c r="A52" s="35"/>
      <c r="B52" s="11" t="str">
        <f>CONCATENATE("     ","Travel                                            ")</f>
        <v xml:space="preserve">     Travel                                            </v>
      </c>
      <c r="C52" s="11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SUM(OSRRefD21_7x_9)</f>
        <v>0</v>
      </c>
      <c r="N52" s="1">
        <f>SUM(OSRRefE21_7x_0)</f>
        <v>300</v>
      </c>
      <c r="O52" s="1">
        <f>SUM(OSRRefE21_7x_1)</f>
        <v>300</v>
      </c>
      <c r="Q52" s="2">
        <f>SUM(OSRRefD20_7x)+IFERROR(SUM(OSRRefE20_7x),0)</f>
        <v>600</v>
      </c>
    </row>
    <row r="53" spans="1:17" s="34" customFormat="1" hidden="1" outlineLevel="1" x14ac:dyDescent="0.25">
      <c r="A53" s="35"/>
      <c r="B53" s="10" t="str">
        <f>CONCATENATE("          ","6292", " - ","TRAVEL/CONFERENCE")</f>
        <v xml:space="preserve">          6292 - TRAVEL/CONFERENCE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>
        <v>300</v>
      </c>
      <c r="O53" s="2">
        <v>300</v>
      </c>
      <c r="P53" s="9"/>
      <c r="Q53" s="2">
        <f>SUM(OSRRefD21_7_0x)+IFERROR(SUM(OSRRefE21_7_0x),0)</f>
        <v>600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3"/>
      <c r="B55" s="16" t="s">
        <v>291</v>
      </c>
      <c r="C55" s="22"/>
      <c r="D55" s="3">
        <f t="shared" ref="D55:M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>
        <f t="shared" si="4"/>
        <v>0</v>
      </c>
      <c r="M55" s="3">
        <f t="shared" si="4"/>
        <v>0</v>
      </c>
      <c r="N55" s="3"/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274</v>
      </c>
      <c r="C57" s="17"/>
      <c r="D57" s="8">
        <f t="shared" ref="D57:O57" si="5">IFERROR(+D14-D17+D55, 0)</f>
        <v>-21521.99</v>
      </c>
      <c r="E57" s="8">
        <f t="shared" si="5"/>
        <v>-10800.34</v>
      </c>
      <c r="F57" s="8">
        <f t="shared" si="5"/>
        <v>-14907.630000000001</v>
      </c>
      <c r="G57" s="8">
        <f t="shared" si="5"/>
        <v>-18225.39</v>
      </c>
      <c r="H57" s="8">
        <f t="shared" si="5"/>
        <v>-14697.869999999999</v>
      </c>
      <c r="I57" s="8">
        <f t="shared" si="5"/>
        <v>-17675.349999999999</v>
      </c>
      <c r="J57" s="8">
        <f t="shared" si="5"/>
        <v>-20118.95</v>
      </c>
      <c r="K57" s="8">
        <f t="shared" si="5"/>
        <v>-17844.22</v>
      </c>
      <c r="L57" s="8">
        <f t="shared" si="5"/>
        <v>-17485.55</v>
      </c>
      <c r="M57" s="8">
        <f t="shared" si="5"/>
        <v>-18741.91</v>
      </c>
      <c r="N57" s="8">
        <f t="shared" si="5"/>
        <v>-17301.532740000002</v>
      </c>
      <c r="O57" s="8">
        <f t="shared" si="5"/>
        <v>-17301.532740000002</v>
      </c>
      <c r="Q57" s="8">
        <f>IFERROR(+Q14-Q17+Q55, 0)</f>
        <v>-206622.26548</v>
      </c>
    </row>
    <row r="58" spans="1:17" s="6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7">
        <f t="shared" ref="D62:O62" si="7">IFERROR(+D57-D60, 0)</f>
        <v>-21521.99</v>
      </c>
      <c r="E62" s="7">
        <f t="shared" si="7"/>
        <v>-10800.34</v>
      </c>
      <c r="F62" s="7">
        <f t="shared" si="7"/>
        <v>-14907.630000000001</v>
      </c>
      <c r="G62" s="7">
        <f t="shared" si="7"/>
        <v>-18225.39</v>
      </c>
      <c r="H62" s="7">
        <f t="shared" si="7"/>
        <v>-14697.869999999999</v>
      </c>
      <c r="I62" s="7">
        <f t="shared" si="7"/>
        <v>-17675.349999999999</v>
      </c>
      <c r="J62" s="7">
        <f t="shared" si="7"/>
        <v>-20118.95</v>
      </c>
      <c r="K62" s="7">
        <f t="shared" si="7"/>
        <v>-17844.22</v>
      </c>
      <c r="L62" s="7">
        <f t="shared" si="7"/>
        <v>-17485.55</v>
      </c>
      <c r="M62" s="7">
        <f t="shared" si="7"/>
        <v>-18741.91</v>
      </c>
      <c r="N62" s="7">
        <f t="shared" si="7"/>
        <v>-17301.532740000002</v>
      </c>
      <c r="O62" s="7">
        <f t="shared" si="7"/>
        <v>-17301.532740000002</v>
      </c>
      <c r="Q62" s="7">
        <f>IFERROR(+Q57-Q60, 0)</f>
        <v>-206622.26548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292</v>
      </c>
      <c r="C66" s="17"/>
      <c r="D66" s="7">
        <f t="shared" ref="D66:O66" si="9">IFERROR(SUM(D62:D65), 0)</f>
        <v>-21521.99</v>
      </c>
      <c r="E66" s="7">
        <f t="shared" si="9"/>
        <v>-10800.34</v>
      </c>
      <c r="F66" s="7">
        <f t="shared" si="9"/>
        <v>-14907.630000000001</v>
      </c>
      <c r="G66" s="7">
        <f t="shared" si="9"/>
        <v>-18225.39</v>
      </c>
      <c r="H66" s="7">
        <f t="shared" si="9"/>
        <v>-14697.869999999999</v>
      </c>
      <c r="I66" s="7">
        <f t="shared" si="9"/>
        <v>-17675.349999999999</v>
      </c>
      <c r="J66" s="7">
        <f t="shared" si="9"/>
        <v>-20118.95</v>
      </c>
      <c r="K66" s="7">
        <f t="shared" si="9"/>
        <v>-17844.22</v>
      </c>
      <c r="L66" s="7">
        <f t="shared" si="9"/>
        <v>-17485.55</v>
      </c>
      <c r="M66" s="7">
        <f t="shared" si="9"/>
        <v>-18741.91</v>
      </c>
      <c r="N66" s="7">
        <f t="shared" si="9"/>
        <v>-17301.532740000002</v>
      </c>
      <c r="O66" s="7">
        <f t="shared" si="9"/>
        <v>-17301.532740000002</v>
      </c>
      <c r="Q66" s="7">
        <f>IFERROR(SUM(Q62:Q65), 0)</f>
        <v>-206622.26548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27">
        <v>44330.012769791669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25">
      <c r="A69" s="5"/>
      <c r="B69" s="31" t="s">
        <v>54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25">
      <c r="A70" s="5"/>
      <c r="B70" s="26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25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23641.920000000002</v>
      </c>
      <c r="R10" s="24"/>
    </row>
    <row r="11" spans="1:18" s="9" customFormat="1" hidden="1" outlineLevel="1" x14ac:dyDescent="0.25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--199.89</f>
        <v>199.89</v>
      </c>
      <c r="E11" s="2">
        <f>--17.76</f>
        <v>17.760000000000002</v>
      </c>
      <c r="F11" s="2">
        <f t="shared" ref="F11:M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>
        <f t="shared" ref="J13:M13" si="3">0</f>
        <v>0</v>
      </c>
      <c r="K13" s="2">
        <f t="shared" si="3"/>
        <v>0</v>
      </c>
      <c r="L13" s="2">
        <f t="shared" si="3"/>
        <v>0</v>
      </c>
      <c r="M13" s="2">
        <f t="shared" si="3"/>
        <v>0</v>
      </c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25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>
        <f>-160.2</f>
        <v>-160.19999999999999</v>
      </c>
      <c r="K14" s="2">
        <f t="shared" ref="K14:M14" si="4">0</f>
        <v>0</v>
      </c>
      <c r="L14" s="2">
        <f t="shared" si="4"/>
        <v>0</v>
      </c>
      <c r="M14" s="2">
        <f t="shared" si="4"/>
        <v>0</v>
      </c>
      <c r="N14" s="2"/>
      <c r="O14" s="2"/>
      <c r="Q14" s="2">
        <f>SUM(OSRRefD11_3x)+IFERROR(SUM(OSRRefE11_3x),0)</f>
        <v>7328.2700000000013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SUM(OSRRefD14x_9)</f>
        <v>0</v>
      </c>
      <c r="N16" s="3">
        <f>SUM(OSRRefE14x_0)</f>
        <v>0</v>
      </c>
      <c r="O16" s="3">
        <f>SUM(OSRRefE14x_1)</f>
        <v>0</v>
      </c>
      <c r="Q16" s="3">
        <f>SUM(OSRRefG14x)</f>
        <v>25322.920000000002</v>
      </c>
    </row>
    <row r="17" spans="1:17" s="9" customFormat="1" hidden="1" outlineLevel="1" x14ac:dyDescent="0.25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25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5">IFERROR(+D10-D16, 0)</f>
        <v>7638.2999999999975</v>
      </c>
      <c r="E21" s="8">
        <f t="shared" si="5"/>
        <v>-10270.299999999999</v>
      </c>
      <c r="F21" s="8">
        <f t="shared" si="5"/>
        <v>25410.25</v>
      </c>
      <c r="G21" s="8">
        <f t="shared" si="5"/>
        <v>-24299.05</v>
      </c>
      <c r="H21" s="8">
        <f t="shared" si="5"/>
        <v>0</v>
      </c>
      <c r="I21" s="8">
        <f t="shared" si="5"/>
        <v>0</v>
      </c>
      <c r="J21" s="8">
        <f t="shared" si="5"/>
        <v>-160.19999999999999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0</v>
      </c>
      <c r="O21" s="8">
        <f t="shared" si="5"/>
        <v>0</v>
      </c>
      <c r="Q21" s="8">
        <f>IFERROR(+Q10-Q16, 0)</f>
        <v>-1681</v>
      </c>
    </row>
    <row r="22" spans="1:17" s="6" customFormat="1" x14ac:dyDescent="0.25">
      <c r="B22" s="16"/>
      <c r="C22" s="16"/>
      <c r="D22" s="4">
        <f t="shared" ref="D22:O22" si="6">IFERROR(D21/D10, 0)</f>
        <v>0.39519513739709178</v>
      </c>
      <c r="E22" s="4">
        <f t="shared" si="6"/>
        <v>-3.2531834019638897</v>
      </c>
      <c r="F22" s="4">
        <f t="shared" si="6"/>
        <v>1</v>
      </c>
      <c r="G22" s="4">
        <f t="shared" si="6"/>
        <v>1.0085501835591593</v>
      </c>
      <c r="H22" s="4">
        <f t="shared" si="6"/>
        <v>0</v>
      </c>
      <c r="I22" s="4">
        <f t="shared" si="6"/>
        <v>0</v>
      </c>
      <c r="J22" s="4">
        <f t="shared" si="6"/>
        <v>1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-7.1102516208497446E-2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4">
        <f>SUM(OSRRefD20x_0)</f>
        <v>59459.530000000006</v>
      </c>
      <c r="E24" s="14">
        <f>SUM(OSRRefD20x_1)</f>
        <v>54062.239999999998</v>
      </c>
      <c r="F24" s="14">
        <f>SUM(OSRRefD20x_2)</f>
        <v>51893.159999999996</v>
      </c>
      <c r="G24" s="14">
        <f>SUM(OSRRefD20x_3)</f>
        <v>55891.359999999993</v>
      </c>
      <c r="H24" s="14">
        <f>SUM(OSRRefD20x_4)</f>
        <v>49295.869999999995</v>
      </c>
      <c r="I24" s="14">
        <f>SUM(OSRRefD20x_5)</f>
        <v>46482.1</v>
      </c>
      <c r="J24" s="14">
        <f>SUM(OSRRefD20x_6)</f>
        <v>51225.529999999992</v>
      </c>
      <c r="K24" s="14">
        <f>SUM(OSRRefD20x_7)</f>
        <v>46306.989999999991</v>
      </c>
      <c r="L24" s="14">
        <f>SUM(OSRRefD20x_8)</f>
        <v>47743.709999999992</v>
      </c>
      <c r="M24" s="14">
        <f>SUM(OSRRefD20x_9)</f>
        <v>52820.51999999999</v>
      </c>
      <c r="N24" s="14">
        <f>SUM(OSRRefE20x_0)</f>
        <v>67994.633573846193</v>
      </c>
      <c r="O24" s="14">
        <f>SUM(OSRRefE20x_1)</f>
        <v>61194.633573846193</v>
      </c>
      <c r="Q24" s="14">
        <f>SUM(OSRRefG20x)</f>
        <v>644370.27714769228</v>
      </c>
    </row>
    <row r="25" spans="1:17" s="34" customFormat="1" collapsed="1" x14ac:dyDescent="0.25">
      <c r="A25" s="35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SUM(OSRRefD21_0x_6)</f>
        <v>20342.16</v>
      </c>
      <c r="K25" s="1">
        <f>SUM(OSRRefD21_0x_7)</f>
        <v>20319.529999999995</v>
      </c>
      <c r="L25" s="1">
        <f>SUM(OSRRefD21_0x_8)</f>
        <v>20741.009999999998</v>
      </c>
      <c r="M25" s="1">
        <f>SUM(OSRRefD21_0x_9)</f>
        <v>22096.129999999997</v>
      </c>
      <c r="N25" s="1">
        <f>SUM(OSRRefE21_0x_0)</f>
        <v>24907.4735738462</v>
      </c>
      <c r="O25" s="1">
        <f>SUM(OSRRefE21_0x_1)</f>
        <v>24907.4735738462</v>
      </c>
      <c r="Q25" s="2">
        <f>SUM(OSRRefD20_0x)+IFERROR(SUM(OSRRefE20_0x),0)</f>
        <v>259582.40714769243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1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1819.55</v>
      </c>
      <c r="K26" s="2">
        <v>1785.8</v>
      </c>
      <c r="L26" s="2">
        <v>1844.41</v>
      </c>
      <c r="M26" s="2">
        <v>2727.29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25374.342839999998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1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357.19</v>
      </c>
      <c r="K27" s="2">
        <v>997.82</v>
      </c>
      <c r="L27" s="2">
        <v>1032.1099999999999</v>
      </c>
      <c r="M27" s="2">
        <v>1035.1199999999999</v>
      </c>
      <c r="N27" s="2">
        <v>1309.0506</v>
      </c>
      <c r="O27" s="2">
        <v>1309.0506</v>
      </c>
      <c r="P27" s="9"/>
      <c r="Q27" s="2">
        <f>SUM(OSRRefD21_0_1x)+IFERROR(SUM(OSRRefE21_0_1x),0)</f>
        <v>13849.4912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1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12552.45</v>
      </c>
      <c r="K28" s="2">
        <v>12552.45</v>
      </c>
      <c r="L28" s="2">
        <v>12552.45</v>
      </c>
      <c r="M28" s="2">
        <v>11992.75</v>
      </c>
      <c r="N28" s="2">
        <v>16753.8461538462</v>
      </c>
      <c r="O28" s="2">
        <v>16753.8461538462</v>
      </c>
      <c r="P28" s="9"/>
      <c r="Q28" s="2">
        <f>SUM(OSRRefD21_0_2x)+IFERROR(SUM(OSRRefE21_0_2x),0)</f>
        <v>155616.92230769241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1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125.74</v>
      </c>
      <c r="K29" s="2">
        <v>60.47</v>
      </c>
      <c r="L29" s="2">
        <v>62.55</v>
      </c>
      <c r="M29" s="2">
        <v>62.73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839.35279999999989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1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1343.57</v>
      </c>
      <c r="K30" s="2">
        <v>950.04</v>
      </c>
      <c r="L30" s="2">
        <v>950.04</v>
      </c>
      <c r="M30" s="2">
        <v>950.04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12229.198000000002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1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>
        <v>357.29</v>
      </c>
      <c r="K32" s="2">
        <v>353.46</v>
      </c>
      <c r="L32" s="2">
        <v>575.26</v>
      </c>
      <c r="M32" s="2">
        <v>374.92</v>
      </c>
      <c r="N32" s="2"/>
      <c r="O32" s="2"/>
      <c r="P32" s="9"/>
      <c r="Q32" s="2">
        <f>SUM(OSRRefD21_0_6x)+IFERROR(SUM(OSRRefE21_0_6x),0)</f>
        <v>4050.0200000000004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1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1863.03</v>
      </c>
      <c r="K33" s="2">
        <v>1575.8</v>
      </c>
      <c r="L33" s="2">
        <v>1628.16</v>
      </c>
      <c r="M33" s="2">
        <v>2442.2399999999998</v>
      </c>
      <c r="N33" s="2">
        <v>1121.82</v>
      </c>
      <c r="O33" s="2">
        <v>1121.82</v>
      </c>
      <c r="P33" s="9"/>
      <c r="Q33" s="2">
        <f>SUM(OSRRefD21_0_7x)+IFERROR(SUM(OSRRefE21_0_7x),0)</f>
        <v>21605.520000000004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1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1214.78</v>
      </c>
      <c r="K34" s="2">
        <v>1152.05</v>
      </c>
      <c r="L34" s="2">
        <v>1214.78</v>
      </c>
      <c r="M34" s="2">
        <v>1617.93</v>
      </c>
      <c r="N34" s="2">
        <v>709.02</v>
      </c>
      <c r="O34" s="2">
        <v>709.02</v>
      </c>
      <c r="P34" s="9"/>
      <c r="Q34" s="2">
        <f>SUM(OSRRefD21_0_8x)+IFERROR(SUM(OSRRefE21_0_8x),0)</f>
        <v>14377.490000000002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1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708.56</v>
      </c>
      <c r="K35" s="2">
        <v>891.64</v>
      </c>
      <c r="L35" s="2">
        <v>881.25</v>
      </c>
      <c r="M35" s="2">
        <v>893.11</v>
      </c>
      <c r="N35" s="2">
        <v>1750</v>
      </c>
      <c r="O35" s="2">
        <v>1750</v>
      </c>
      <c r="P35" s="9"/>
      <c r="Q35" s="2">
        <f>SUM(OSRRefD21_0_9x)+IFERROR(SUM(OSRRefE21_0_9x),0)</f>
        <v>11640.07</v>
      </c>
    </row>
    <row r="36" spans="1:17" s="34" customFormat="1" collapsed="1" x14ac:dyDescent="0.25">
      <c r="A36" s="35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25913.299999999996</v>
      </c>
      <c r="H36" s="1">
        <f>SUM(OSRRefD21_1x_4)</f>
        <v>22335.09</v>
      </c>
      <c r="I36" s="1">
        <f>SUM(OSRRefD21_1x_5)</f>
        <v>17998.71</v>
      </c>
      <c r="J36" s="1">
        <f>SUM(OSRRefD21_1x_6)</f>
        <v>23703.85</v>
      </c>
      <c r="K36" s="1">
        <f>SUM(OSRRefD21_1x_7)</f>
        <v>20656.62</v>
      </c>
      <c r="L36" s="1">
        <f>SUM(OSRRefD21_1x_8)</f>
        <v>21046.940000000002</v>
      </c>
      <c r="M36" s="1">
        <f>SUM(OSRRefD21_1x_9)</f>
        <v>24148.089999999997</v>
      </c>
      <c r="N36" s="1">
        <f>SUM(OSRRefE21_1x_0)</f>
        <v>28683.159999999996</v>
      </c>
      <c r="O36" s="1">
        <f>SUM(OSRRefE21_1x_1)</f>
        <v>28683.159999999996</v>
      </c>
      <c r="Q36" s="2">
        <f>SUM(OSRRefD20_1x)+IFERROR(SUM(OSRRefE20_1x),0)</f>
        <v>282042.07999999996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1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9600.02</v>
      </c>
      <c r="K38" s="2">
        <v>9455.32</v>
      </c>
      <c r="L38" s="2">
        <v>9349.92</v>
      </c>
      <c r="M38" s="2">
        <v>9412.4</v>
      </c>
      <c r="N38" s="2">
        <v>9281.56</v>
      </c>
      <c r="O38" s="2">
        <v>9281.56</v>
      </c>
      <c r="P38" s="9"/>
      <c r="Q38" s="2">
        <f>SUM(OSRRefD21_1_1x)+IFERROR(SUM(OSRRefE21_1_1x),0)</f>
        <v>111131.51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1"/>
      <c r="D40" s="2">
        <v>10701.89</v>
      </c>
      <c r="E40" s="2">
        <v>12044.54</v>
      </c>
      <c r="F40" s="2">
        <v>14206.47</v>
      </c>
      <c r="G40" s="2">
        <v>17760.669999999998</v>
      </c>
      <c r="H40" s="2">
        <v>13942.17</v>
      </c>
      <c r="I40" s="2">
        <v>11713.79</v>
      </c>
      <c r="J40" s="2">
        <v>11503.83</v>
      </c>
      <c r="K40" s="2">
        <v>11458.3</v>
      </c>
      <c r="L40" s="2">
        <v>10857.02</v>
      </c>
      <c r="M40" s="2">
        <v>17918.689999999999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170910.57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1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2600</v>
      </c>
      <c r="K43" s="2">
        <v>-257</v>
      </c>
      <c r="L43" s="2">
        <v>840</v>
      </c>
      <c r="M43" s="2">
        <v>-3183</v>
      </c>
      <c r="N43" s="2">
        <v>0</v>
      </c>
      <c r="O43" s="2">
        <v>0</v>
      </c>
      <c r="P43" s="9"/>
      <c r="Q43" s="2">
        <f>SUM(OSRRefD21_1_6x)+IFERROR(SUM(OSRRefE21_1_6x),0)</f>
        <v>0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0</v>
      </c>
      <c r="K47" s="1">
        <f>SUM(OSRRefD21_2x_7)</f>
        <v>0</v>
      </c>
      <c r="L47" s="1">
        <f>SUM(OSRRefD21_2x_8)</f>
        <v>0</v>
      </c>
      <c r="M47" s="1">
        <f>SUM(OSRRefD21_2x_9)</f>
        <v>0</v>
      </c>
      <c r="N47" s="1">
        <f>SUM(OSRRefE21_2x_0)</f>
        <v>0</v>
      </c>
      <c r="O47" s="1">
        <f>SUM(OSRRefE21_2x_1)</f>
        <v>0</v>
      </c>
      <c r="Q47" s="2">
        <f>SUM(OSRRefD20_2x)+IFERROR(SUM(OSRRefE20_2x),0)</f>
        <v>204.75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1"/>
      <c r="D48" s="2">
        <v>204.75</v>
      </c>
      <c r="E48" s="2"/>
      <c r="F48" s="2"/>
      <c r="G48" s="2"/>
      <c r="H48" s="2"/>
      <c r="I48" s="2"/>
      <c r="J48" s="2"/>
      <c r="K48" s="2"/>
      <c r="L48" s="2"/>
      <c r="M48" s="2"/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4" customFormat="1" collapsed="1" x14ac:dyDescent="0.25">
      <c r="A49" s="35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0</v>
      </c>
      <c r="L49" s="1">
        <f>SUM(OSRRefD21_3x_8)</f>
        <v>0</v>
      </c>
      <c r="M49" s="1">
        <f>SUM(OSRRefD21_3x_9)</f>
        <v>0</v>
      </c>
      <c r="N49" s="1">
        <f>SUM(OSRRefE21_3x_0)</f>
        <v>0</v>
      </c>
      <c r="O49" s="1">
        <f>SUM(OSRRefE21_3x_1)</f>
        <v>0</v>
      </c>
      <c r="Q49" s="2">
        <f>SUM(OSRRefD20_3x)+IFERROR(SUM(OSRRefE20_3x),0)</f>
        <v>0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4" customFormat="1" collapsed="1" x14ac:dyDescent="0.25">
      <c r="A51" s="35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SUM(OSRRefD21_4x_6)</f>
        <v>0</v>
      </c>
      <c r="K51" s="1">
        <f>SUM(OSRRefD21_4x_7)</f>
        <v>0</v>
      </c>
      <c r="L51" s="1">
        <f>SUM(OSRRefD21_4x_8)</f>
        <v>0</v>
      </c>
      <c r="M51" s="1">
        <f>SUM(OSRRefD21_4x_9)</f>
        <v>0</v>
      </c>
      <c r="N51" s="1">
        <f>SUM(OSRRefE21_4x_0)</f>
        <v>0</v>
      </c>
      <c r="O51" s="1">
        <f>SUM(OSRRefE21_4x_1)</f>
        <v>0</v>
      </c>
      <c r="Q51" s="2">
        <f>SUM(OSRRefD20_4x)+IFERROR(SUM(OSRRefE20_4x),0)</f>
        <v>0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4" customFormat="1" collapsed="1" x14ac:dyDescent="0.25">
      <c r="A53" s="35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SUM(OSRRefD21_5x_9)</f>
        <v>272.74</v>
      </c>
      <c r="N53" s="1">
        <f>SUM(OSRRefE21_5x_0)</f>
        <v>0</v>
      </c>
      <c r="O53" s="1">
        <f>SUM(OSRRefE21_5x_1)</f>
        <v>0</v>
      </c>
      <c r="Q53" s="2">
        <f>SUM(OSRRefD20_5x)+IFERROR(SUM(OSRRefE20_5x),0)</f>
        <v>2463.1800000000003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>
        <v>272.74</v>
      </c>
      <c r="N54" s="2"/>
      <c r="O54" s="2"/>
      <c r="P54" s="9"/>
      <c r="Q54" s="2">
        <f>SUM(OSRRefD21_5_0x)+IFERROR(SUM(OSRRefE21_5_0x),0)</f>
        <v>2463.1800000000003</v>
      </c>
    </row>
    <row r="55" spans="1:17" s="34" customFormat="1" collapsed="1" x14ac:dyDescent="0.25">
      <c r="A55" s="35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SUM(OSRRefD21_6x_9)</f>
        <v>0</v>
      </c>
      <c r="N55" s="1">
        <f>SUM(OSRRefE21_6x_0)</f>
        <v>5000</v>
      </c>
      <c r="O55" s="1">
        <f>SUM(OSRRefE21_6x_1)</f>
        <v>0</v>
      </c>
      <c r="Q55" s="2">
        <f>SUM(OSRRefD20_6x)+IFERROR(SUM(OSRRefE20_6x),0)</f>
        <v>5000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5000</v>
      </c>
      <c r="O56" s="2"/>
      <c r="P56" s="9"/>
      <c r="Q56" s="2">
        <f>SUM(OSRRefD21_6_0x)+IFERROR(SUM(OSRRefE21_6_0x),0)</f>
        <v>5000</v>
      </c>
    </row>
    <row r="57" spans="1:17" s="34" customFormat="1" collapsed="1" x14ac:dyDescent="0.25">
      <c r="A57" s="35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SUM(OSRRefD21_7x_9)</f>
        <v>0</v>
      </c>
      <c r="N57" s="1">
        <f>SUM(OSRRefE21_7x_0)</f>
        <v>0</v>
      </c>
      <c r="O57" s="1">
        <f>SUM(OSRRefE21_7x_1)</f>
        <v>0</v>
      </c>
      <c r="Q57" s="2">
        <f>SUM(OSRRefD20_7x)+IFERROR(SUM(OSRRefE20_7x),0)</f>
        <v>0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4" customFormat="1" collapsed="1" x14ac:dyDescent="0.25">
      <c r="A59" s="35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SUM(OSRRefD21_8x_4)</f>
        <v>138.88999999999999</v>
      </c>
      <c r="I59" s="1">
        <f>SUM(OSRRefD21_8x_5)</f>
        <v>276.64999999999998</v>
      </c>
      <c r="J59" s="1">
        <f>SUM(OSRRefD21_8x_6)</f>
        <v>107.89</v>
      </c>
      <c r="K59" s="1">
        <f>SUM(OSRRefD21_8x_7)</f>
        <v>219.68</v>
      </c>
      <c r="L59" s="1">
        <f>SUM(OSRRefD21_8x_8)</f>
        <v>207.89</v>
      </c>
      <c r="M59" s="1">
        <f>SUM(OSRRefD21_8x_9)</f>
        <v>364.22</v>
      </c>
      <c r="N59" s="1">
        <f>SUM(OSRRefE21_8x_0)</f>
        <v>400</v>
      </c>
      <c r="O59" s="1">
        <f>SUM(OSRRefE21_8x_1)</f>
        <v>400</v>
      </c>
      <c r="Q59" s="2">
        <f>SUM(OSRRefD20_8x)+IFERROR(SUM(OSRRefE20_8x),0)</f>
        <v>3086.3500000000004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1"/>
      <c r="D60" s="2">
        <v>173.95</v>
      </c>
      <c r="E60" s="2">
        <v>312.27</v>
      </c>
      <c r="F60" s="2">
        <v>116.72</v>
      </c>
      <c r="G60" s="2">
        <v>368.19</v>
      </c>
      <c r="H60" s="2">
        <v>138.88999999999999</v>
      </c>
      <c r="I60" s="2">
        <v>276.64999999999998</v>
      </c>
      <c r="J60" s="2">
        <v>107.89</v>
      </c>
      <c r="K60" s="2">
        <v>219.68</v>
      </c>
      <c r="L60" s="2">
        <v>207.89</v>
      </c>
      <c r="M60" s="2">
        <v>364.22</v>
      </c>
      <c r="N60" s="2">
        <v>400</v>
      </c>
      <c r="O60" s="2">
        <v>400</v>
      </c>
      <c r="P60" s="9"/>
      <c r="Q60" s="2">
        <f>SUM(OSRRefD21_8_0x)+IFERROR(SUM(OSRRefE21_8_0x),0)</f>
        <v>3086.3500000000004</v>
      </c>
    </row>
    <row r="61" spans="1:17" s="34" customFormat="1" collapsed="1" x14ac:dyDescent="0.25">
      <c r="A61" s="35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SUM(OSRRefD21_9x_4)</f>
        <v>38</v>
      </c>
      <c r="I61" s="1">
        <f>SUM(OSRRefD21_9x_5)</f>
        <v>290.25</v>
      </c>
      <c r="J61" s="1">
        <f>SUM(OSRRefD21_9x_6)</f>
        <v>0</v>
      </c>
      <c r="K61" s="1">
        <f>SUM(OSRRefD21_9x_7)</f>
        <v>0</v>
      </c>
      <c r="L61" s="1">
        <f>SUM(OSRRefD21_9x_8)</f>
        <v>0</v>
      </c>
      <c r="M61" s="1">
        <f>SUM(OSRRefD21_9x_9)</f>
        <v>19</v>
      </c>
      <c r="N61" s="1">
        <f>SUM(OSRRefE21_9x_0)</f>
        <v>150</v>
      </c>
      <c r="O61" s="1">
        <f>SUM(OSRRefE21_9x_1)</f>
        <v>150</v>
      </c>
      <c r="Q61" s="2">
        <f>SUM(OSRRefD20_9x)+IFERROR(SUM(OSRRefE20_9x),0)</f>
        <v>4147.4500000000007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1"/>
      <c r="D62" s="2">
        <v>3419.55</v>
      </c>
      <c r="E62" s="2">
        <v>80.650000000000006</v>
      </c>
      <c r="F62" s="2"/>
      <c r="G62" s="2"/>
      <c r="H62" s="2">
        <v>38</v>
      </c>
      <c r="I62" s="2">
        <v>290.25</v>
      </c>
      <c r="J62" s="2"/>
      <c r="K62" s="2"/>
      <c r="L62" s="2"/>
      <c r="M62" s="2">
        <v>19</v>
      </c>
      <c r="N62" s="2">
        <v>150</v>
      </c>
      <c r="O62" s="2">
        <v>150</v>
      </c>
      <c r="P62" s="9"/>
      <c r="Q62" s="2">
        <f>SUM(OSRRefD21_9_0x)+IFERROR(SUM(OSRRefE21_9_0x),0)</f>
        <v>4147.4500000000007</v>
      </c>
    </row>
    <row r="63" spans="1:17" s="34" customFormat="1" collapsed="1" x14ac:dyDescent="0.25">
      <c r="A63" s="35"/>
      <c r="B63" s="11" t="str">
        <f>CONCATENATE("     ","R/H Commissions                                   ")</f>
        <v xml:space="preserve">     R/H Commissions                                   </v>
      </c>
      <c r="C63" s="11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SUM(OSRRefD21_10x_4)</f>
        <v>-3</v>
      </c>
      <c r="I63" s="1">
        <f>SUM(OSRRefD21_10x_5)</f>
        <v>0</v>
      </c>
      <c r="J63" s="1">
        <f>SUM(OSRRefD21_10x_6)</f>
        <v>-12.82</v>
      </c>
      <c r="K63" s="1">
        <f>SUM(OSRRefD21_10x_7)</f>
        <v>0</v>
      </c>
      <c r="L63" s="1">
        <f>SUM(OSRRefD21_10x_8)</f>
        <v>0</v>
      </c>
      <c r="M63" s="1">
        <f>SUM(OSRRefD21_10x_9)</f>
        <v>0</v>
      </c>
      <c r="N63" s="1">
        <f>SUM(OSRRefE21_10x_0)</f>
        <v>0</v>
      </c>
      <c r="O63" s="1">
        <f>SUM(OSRRefE21_10x_1)</f>
        <v>0</v>
      </c>
      <c r="Q63" s="2">
        <f>SUM(OSRRefD20_10x)+IFERROR(SUM(OSRRefE20_10x),0)</f>
        <v>1899.3500000000001</v>
      </c>
    </row>
    <row r="64" spans="1:17" s="34" customFormat="1" hidden="1" outlineLevel="1" x14ac:dyDescent="0.25">
      <c r="A64" s="35"/>
      <c r="B64" s="10" t="str">
        <f>CONCATENATE("          ","6387", " - ","COMMISSION DUE HOUSING")</f>
        <v xml:space="preserve">          6387 - COMMISSION DUE HOUSING</v>
      </c>
      <c r="C64" s="11"/>
      <c r="D64" s="2">
        <v>1151.68</v>
      </c>
      <c r="E64" s="2">
        <v>144</v>
      </c>
      <c r="F64" s="2"/>
      <c r="G64" s="2">
        <v>619.49</v>
      </c>
      <c r="H64" s="2">
        <v>-3</v>
      </c>
      <c r="I64" s="2"/>
      <c r="J64" s="2">
        <v>-12.82</v>
      </c>
      <c r="K64" s="2"/>
      <c r="L64" s="2"/>
      <c r="M64" s="2"/>
      <c r="N64" s="2">
        <v>0</v>
      </c>
      <c r="O64" s="2">
        <v>0</v>
      </c>
      <c r="P64" s="9"/>
      <c r="Q64" s="2">
        <f>SUM(OSRRefD21_10_0x)+IFERROR(SUM(OSRRefE21_10_0x),0)</f>
        <v>1899.3500000000001</v>
      </c>
    </row>
    <row r="65" spans="1:17" s="34" customFormat="1" collapsed="1" x14ac:dyDescent="0.25">
      <c r="A65" s="35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SUM(OSRRefD21_11x_4)</f>
        <v>0</v>
      </c>
      <c r="I65" s="1">
        <f>SUM(OSRRefD21_11x_5)</f>
        <v>84.4</v>
      </c>
      <c r="J65" s="1">
        <f>SUM(OSRRefD21_11x_6)</f>
        <v>19</v>
      </c>
      <c r="K65" s="1">
        <f>SUM(OSRRefD21_11x_7)</f>
        <v>0</v>
      </c>
      <c r="L65" s="1">
        <f>SUM(OSRRefD21_11x_8)</f>
        <v>84.4</v>
      </c>
      <c r="M65" s="1">
        <f>SUM(OSRRefD21_11x_9)</f>
        <v>0</v>
      </c>
      <c r="N65" s="1">
        <f>SUM(OSRRefE21_11x_0)</f>
        <v>1800</v>
      </c>
      <c r="O65" s="1">
        <f>SUM(OSRRefE21_11x_1)</f>
        <v>0</v>
      </c>
      <c r="Q65" s="2">
        <f>SUM(OSRRefD20_11x)+IFERROR(SUM(OSRRefE20_11x),0)</f>
        <v>3145.25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1"/>
      <c r="D66" s="2"/>
      <c r="E66" s="2">
        <v>1085.0999999999999</v>
      </c>
      <c r="F66" s="2">
        <v>72.349999999999994</v>
      </c>
      <c r="G66" s="2"/>
      <c r="H66" s="2"/>
      <c r="I66" s="2">
        <v>84.4</v>
      </c>
      <c r="J66" s="2"/>
      <c r="K66" s="2"/>
      <c r="L66" s="2">
        <v>84.4</v>
      </c>
      <c r="M66" s="2"/>
      <c r="N66" s="2">
        <v>1800</v>
      </c>
      <c r="O66" s="2"/>
      <c r="P66" s="9"/>
      <c r="Q66" s="2">
        <f>SUM(OSRRefD21_11_0x)+IFERROR(SUM(OSRRefE21_11_0x),0)</f>
        <v>3126.25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/>
      <c r="G67" s="2"/>
      <c r="H67" s="2"/>
      <c r="I67" s="2"/>
      <c r="J67" s="2">
        <v>19</v>
      </c>
      <c r="K67" s="2"/>
      <c r="L67" s="2"/>
      <c r="M67" s="2"/>
      <c r="N67" s="2">
        <v>0</v>
      </c>
      <c r="O67" s="2">
        <v>0</v>
      </c>
      <c r="P67" s="9"/>
      <c r="Q67" s="2">
        <f>SUM(OSRRefD21_11_1x)+IFERROR(SUM(OSRRefE21_11_1x),0)</f>
        <v>19</v>
      </c>
    </row>
    <row r="68" spans="1:17" s="34" customFormat="1" collapsed="1" x14ac:dyDescent="0.25">
      <c r="A68" s="35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9908.1500000000015</v>
      </c>
      <c r="E68" s="1">
        <f>SUM(OSRRefD21_12x_1)</f>
        <v>6033.7199999999993</v>
      </c>
      <c r="F68" s="1">
        <f>SUM(OSRRefD21_12x_2)</f>
        <v>4375.8600000000006</v>
      </c>
      <c r="G68" s="1">
        <f>SUM(OSRRefD21_12x_3)</f>
        <v>5309.01</v>
      </c>
      <c r="H68" s="1">
        <f>SUM(OSRRefD21_12x_4)</f>
        <v>4494.99</v>
      </c>
      <c r="I68" s="1">
        <f>SUM(OSRRefD21_12x_5)</f>
        <v>5385.85</v>
      </c>
      <c r="J68" s="1">
        <f>SUM(OSRRefD21_12x_6)</f>
        <v>5900.0599999999995</v>
      </c>
      <c r="K68" s="1">
        <f>SUM(OSRRefD21_12x_7)</f>
        <v>4749.42</v>
      </c>
      <c r="L68" s="1">
        <f>SUM(OSRRefD21_12x_8)</f>
        <v>5301.73</v>
      </c>
      <c r="M68" s="1">
        <f>SUM(OSRRefD21_12x_9)</f>
        <v>5831.34</v>
      </c>
      <c r="N68" s="1">
        <f>SUM(OSRRefE21_12x_0)</f>
        <v>6879</v>
      </c>
      <c r="O68" s="1">
        <f>SUM(OSRRefE21_12x_1)</f>
        <v>6879</v>
      </c>
      <c r="Q68" s="2">
        <f>SUM(OSRRefD20_12x)+IFERROR(SUM(OSRRefE20_12x),0)</f>
        <v>71048.12999999999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1"/>
      <c r="D69" s="2">
        <v>130.69999999999999</v>
      </c>
      <c r="E69" s="2">
        <v>417.32</v>
      </c>
      <c r="F69" s="2"/>
      <c r="G69" s="2">
        <v>286.62</v>
      </c>
      <c r="H69" s="2">
        <v>130.69999999999999</v>
      </c>
      <c r="I69" s="2">
        <v>792.32</v>
      </c>
      <c r="J69" s="2">
        <v>1251.96</v>
      </c>
      <c r="K69" s="2"/>
      <c r="L69" s="2">
        <v>417.32</v>
      </c>
      <c r="M69" s="2">
        <v>834.64</v>
      </c>
      <c r="N69" s="2">
        <v>450</v>
      </c>
      <c r="O69" s="2">
        <v>450</v>
      </c>
      <c r="P69" s="9"/>
      <c r="Q69" s="2">
        <f>SUM(OSRRefD21_12_0x)+IFERROR(SUM(OSRRefE21_12_0x),0)</f>
        <v>5161.58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500</v>
      </c>
      <c r="O70" s="2">
        <v>500</v>
      </c>
      <c r="P70" s="9"/>
      <c r="Q70" s="2">
        <f>SUM(OSRRefD21_12_1x)+IFERROR(SUM(OSRRefE21_12_1x),0)</f>
        <v>1000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1"/>
      <c r="D71" s="2">
        <v>8314.1</v>
      </c>
      <c r="E71" s="2">
        <v>4157.05</v>
      </c>
      <c r="F71" s="2">
        <v>4157.05</v>
      </c>
      <c r="G71" s="2">
        <v>4157.05</v>
      </c>
      <c r="H71" s="2">
        <v>4157.05</v>
      </c>
      <c r="I71" s="2">
        <v>4157.05</v>
      </c>
      <c r="J71" s="2">
        <v>4428.8599999999997</v>
      </c>
      <c r="K71" s="2">
        <v>4428.8599999999997</v>
      </c>
      <c r="L71" s="2">
        <v>4532.4799999999996</v>
      </c>
      <c r="M71" s="2">
        <v>4428.8599999999997</v>
      </c>
      <c r="N71" s="2">
        <v>4429</v>
      </c>
      <c r="O71" s="2">
        <v>4429</v>
      </c>
      <c r="P71" s="9"/>
      <c r="Q71" s="2">
        <f>SUM(OSRRefD21_12_2x)+IFERROR(SUM(OSRRefE21_12_2x),0)</f>
        <v>55776.41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1"/>
      <c r="D72" s="2">
        <v>1463.35</v>
      </c>
      <c r="E72" s="2">
        <v>1459.35</v>
      </c>
      <c r="F72" s="2">
        <v>218.81</v>
      </c>
      <c r="G72" s="2">
        <v>865.34</v>
      </c>
      <c r="H72" s="2">
        <v>207.24</v>
      </c>
      <c r="I72" s="2">
        <v>436.48</v>
      </c>
      <c r="J72" s="2">
        <v>219.24</v>
      </c>
      <c r="K72" s="2">
        <v>320.56</v>
      </c>
      <c r="L72" s="2">
        <v>351.93</v>
      </c>
      <c r="M72" s="2">
        <v>567.84</v>
      </c>
      <c r="N72" s="2">
        <v>1500</v>
      </c>
      <c r="O72" s="2">
        <v>1500</v>
      </c>
      <c r="P72" s="9"/>
      <c r="Q72" s="2">
        <f>SUM(OSRRefD21_12_3x)+IFERROR(SUM(OSRRefE21_12_3x),0)</f>
        <v>9110.14</v>
      </c>
    </row>
    <row r="73" spans="1:17" s="34" customFormat="1" collapsed="1" x14ac:dyDescent="0.25">
      <c r="A73" s="35"/>
      <c r="B73" s="11" t="str">
        <f>CONCATENATE("     ","Supplies                                          ")</f>
        <v xml:space="preserve">     Supplies                                          </v>
      </c>
      <c r="C73" s="11"/>
      <c r="D73" s="1">
        <f>SUM(OSRRefD21_13x_0)</f>
        <v>1929.3200000000002</v>
      </c>
      <c r="E73" s="1">
        <f>SUM(OSRRefD21_13x_1)</f>
        <v>4428.42</v>
      </c>
      <c r="F73" s="1">
        <f>SUM(OSRRefD21_13x_2)</f>
        <v>1628.65</v>
      </c>
      <c r="G73" s="1">
        <f>SUM(OSRRefD21_13x_3)</f>
        <v>0</v>
      </c>
      <c r="H73" s="1">
        <f>SUM(OSRRefD21_13x_4)</f>
        <v>0</v>
      </c>
      <c r="I73" s="1">
        <f>SUM(OSRRefD21_13x_5)</f>
        <v>1335.29</v>
      </c>
      <c r="J73" s="1">
        <f>SUM(OSRRefD21_13x_6)</f>
        <v>803.65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SUM(OSRRefE21_13x_0)</f>
        <v>0</v>
      </c>
      <c r="O73" s="1">
        <f>SUM(OSRRefE21_13x_1)</f>
        <v>0</v>
      </c>
      <c r="Q73" s="2">
        <f>SUM(OSRRefD20_13x)+IFERROR(SUM(OSRRefE20_13x),0)</f>
        <v>10125.33</v>
      </c>
    </row>
    <row r="74" spans="1:17" s="34" customFormat="1" hidden="1" outlineLevel="1" x14ac:dyDescent="0.25">
      <c r="A74" s="35"/>
      <c r="B74" s="10" t="str">
        <f>CONCATENATE("          ","6235", " - ","COVID-19 EXPENSES")</f>
        <v xml:space="preserve">          6235 - COVID-19 EXPENSES</v>
      </c>
      <c r="C74" s="11"/>
      <c r="D74" s="2">
        <v>26.92</v>
      </c>
      <c r="E74" s="2">
        <v>1082.46</v>
      </c>
      <c r="F74" s="2">
        <v>265.7</v>
      </c>
      <c r="G74" s="2"/>
      <c r="H74" s="2"/>
      <c r="I74" s="2"/>
      <c r="J74" s="2"/>
      <c r="K74" s="2"/>
      <c r="L74" s="2"/>
      <c r="M74" s="2"/>
      <c r="N74" s="2">
        <v>0</v>
      </c>
      <c r="O74" s="2">
        <v>0</v>
      </c>
      <c r="P74" s="9"/>
      <c r="Q74" s="2">
        <f>SUM(OSRRefD21_13_0x)+IFERROR(SUM(OSRRefE21_13_0x),0)</f>
        <v>1375.0800000000002</v>
      </c>
    </row>
    <row r="75" spans="1:17" s="34" customFormat="1" hidden="1" outlineLevel="1" x14ac:dyDescent="0.25">
      <c r="A75" s="35"/>
      <c r="B75" s="10" t="str">
        <f>CONCATENATE("          ","6237", " - ","JANITORIAL SUPPLIES")</f>
        <v xml:space="preserve">          6237 - JANITORIAL SUPPLIES</v>
      </c>
      <c r="C75" s="11"/>
      <c r="D75" s="2">
        <v>1188.04</v>
      </c>
      <c r="E75" s="2"/>
      <c r="F75" s="2">
        <v>1362.95</v>
      </c>
      <c r="G75" s="2"/>
      <c r="H75" s="2"/>
      <c r="I75" s="2">
        <v>1335.29</v>
      </c>
      <c r="J75" s="2">
        <v>803.65</v>
      </c>
      <c r="K75" s="2"/>
      <c r="L75" s="2"/>
      <c r="M75" s="2"/>
      <c r="N75" s="2">
        <v>0</v>
      </c>
      <c r="O75" s="2">
        <v>0</v>
      </c>
      <c r="P75" s="9"/>
      <c r="Q75" s="2">
        <f>SUM(OSRRefD21_13_1x)+IFERROR(SUM(OSRRefE21_13_1x),0)</f>
        <v>4689.9299999999994</v>
      </c>
    </row>
    <row r="76" spans="1:17" s="34" customFormat="1" hidden="1" outlineLevel="1" x14ac:dyDescent="0.25">
      <c r="A76" s="35"/>
      <c r="B76" s="10" t="str">
        <f>CONCATENATE("          ","6239", " - ","KITCHEN SUPPLIES")</f>
        <v xml:space="preserve">          6239 - KITCHEN SUPPLIES</v>
      </c>
      <c r="C76" s="11"/>
      <c r="D76" s="2">
        <v>50</v>
      </c>
      <c r="E76" s="2">
        <v>981.07</v>
      </c>
      <c r="F76" s="2"/>
      <c r="G76" s="2"/>
      <c r="H76" s="2"/>
      <c r="I76" s="2"/>
      <c r="J76" s="2"/>
      <c r="K76" s="2"/>
      <c r="L76" s="2"/>
      <c r="M76" s="2"/>
      <c r="N76" s="2">
        <v>0</v>
      </c>
      <c r="O76" s="2">
        <v>0</v>
      </c>
      <c r="P76" s="9"/>
      <c r="Q76" s="2">
        <f>SUM(OSRRefD21_13_2x)+IFERROR(SUM(OSRRefE21_13_2x),0)</f>
        <v>1031.0700000000002</v>
      </c>
    </row>
    <row r="77" spans="1:17" s="34" customFormat="1" hidden="1" outlineLevel="1" x14ac:dyDescent="0.25">
      <c r="A77" s="35"/>
      <c r="B77" s="10" t="str">
        <f>CONCATENATE("          ","6241", " - ","OFFICE EXPENSE")</f>
        <v xml:space="preserve">          6241 - OFFICE EXPENSE</v>
      </c>
      <c r="C77" s="11"/>
      <c r="D77" s="2">
        <v>16.48</v>
      </c>
      <c r="E77" s="2">
        <v>3.22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 s="2">
        <v>0</v>
      </c>
      <c r="P77" s="9"/>
      <c r="Q77" s="2">
        <f>SUM(OSRRefD21_13_3x)+IFERROR(SUM(OSRRefE21_13_3x),0)</f>
        <v>19.7</v>
      </c>
    </row>
    <row r="78" spans="1:17" s="34" customFormat="1" hidden="1" outlineLevel="1" x14ac:dyDescent="0.25">
      <c r="A78" s="35"/>
      <c r="B78" s="10" t="str">
        <f>CONCATENATE("          ","6243", " - ","PAPER SUPPLIES")</f>
        <v xml:space="preserve">          6243 - PAPER SUPPLIES</v>
      </c>
      <c r="C78" s="11"/>
      <c r="D78" s="2">
        <v>647.88</v>
      </c>
      <c r="E78" s="2">
        <v>2361.67</v>
      </c>
      <c r="F78" s="2"/>
      <c r="G78" s="2"/>
      <c r="H78" s="2"/>
      <c r="I78" s="2"/>
      <c r="J78" s="2"/>
      <c r="K78" s="2"/>
      <c r="L78" s="2"/>
      <c r="M78" s="2"/>
      <c r="N78" s="2">
        <v>0</v>
      </c>
      <c r="O78" s="2">
        <v>0</v>
      </c>
      <c r="P78" s="9"/>
      <c r="Q78" s="2">
        <f>SUM(OSRRefD21_13_4x)+IFERROR(SUM(OSRRefE21_13_4x),0)</f>
        <v>3009.55</v>
      </c>
    </row>
    <row r="79" spans="1:17" s="34" customFormat="1" hidden="1" outlineLevel="1" x14ac:dyDescent="0.25">
      <c r="A79" s="35"/>
      <c r="B79" s="10" t="str">
        <f>CONCATENATE("          ","6244", " - ","SAFETY SUPPLY EXPENSE")</f>
        <v xml:space="preserve">          6244 - SAFETY SUPPLY EXPENSE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0</v>
      </c>
      <c r="O79" s="2">
        <v>0</v>
      </c>
      <c r="P79" s="9"/>
      <c r="Q79" s="2">
        <f>SUM(OSRRefD21_13_5x)+IFERROR(SUM(OSRRefE21_13_5x),0)</f>
        <v>0</v>
      </c>
    </row>
    <row r="80" spans="1:17" s="34" customFormat="1" hidden="1" outlineLevel="1" x14ac:dyDescent="0.25">
      <c r="A80" s="35"/>
      <c r="B80" s="10" t="str">
        <f>CONCATENATE("          ","6245", " - ","PRINTING")</f>
        <v xml:space="preserve">          6245 - PRINTING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>
        <v>0</v>
      </c>
      <c r="O80" s="2">
        <v>0</v>
      </c>
      <c r="P80" s="9"/>
      <c r="Q80" s="2">
        <f>SUM(OSRRefD21_13_6x)+IFERROR(SUM(OSRRefE21_13_6x),0)</f>
        <v>0</v>
      </c>
    </row>
    <row r="81" spans="1:17" s="34" customFormat="1" collapsed="1" x14ac:dyDescent="0.25">
      <c r="A81" s="35"/>
      <c r="B81" s="11" t="str">
        <f>CONCATENATE("     ","Telephone/Data Lines                              ")</f>
        <v xml:space="preserve">     Telephone/Data Lines                              </v>
      </c>
      <c r="C81" s="11"/>
      <c r="D81" s="1">
        <f>SUM(OSRRefD21_14x_0)</f>
        <v>139</v>
      </c>
      <c r="E81" s="1">
        <f>SUM(OSRRefD21_14x_1)</f>
        <v>139</v>
      </c>
      <c r="F81" s="1">
        <f>SUM(OSRRefD21_14x_2)</f>
        <v>225</v>
      </c>
      <c r="G81" s="1">
        <f>SUM(OSRRefD21_14x_3)</f>
        <v>139</v>
      </c>
      <c r="H81" s="1">
        <f>SUM(OSRRefD21_14x_4)</f>
        <v>139</v>
      </c>
      <c r="I81" s="1">
        <f>SUM(OSRRefD21_14x_5)</f>
        <v>139</v>
      </c>
      <c r="J81" s="1">
        <f>SUM(OSRRefD21_14x_6)</f>
        <v>89</v>
      </c>
      <c r="K81" s="1">
        <f>SUM(OSRRefD21_14x_7)</f>
        <v>89</v>
      </c>
      <c r="L81" s="1">
        <f>SUM(OSRRefD21_14x_8)</f>
        <v>89</v>
      </c>
      <c r="M81" s="1">
        <f>SUM(OSRRefD21_14x_9)</f>
        <v>89</v>
      </c>
      <c r="N81" s="1">
        <f>SUM(OSRRefE21_14x_0)</f>
        <v>175</v>
      </c>
      <c r="O81" s="1">
        <f>SUM(OSRRefE21_14x_1)</f>
        <v>175</v>
      </c>
      <c r="Q81" s="2">
        <f>SUM(OSRRefD20_14x)+IFERROR(SUM(OSRRefE20_14x),0)</f>
        <v>1626</v>
      </c>
    </row>
    <row r="82" spans="1:17" s="34" customFormat="1" hidden="1" outlineLevel="1" x14ac:dyDescent="0.25">
      <c r="A82" s="35"/>
      <c r="B82" s="10" t="str">
        <f>CONCATENATE("          ","6309", " - ","TELEPHONE")</f>
        <v xml:space="preserve">          6309 - TELEPHONE</v>
      </c>
      <c r="C82" s="11"/>
      <c r="D82" s="2">
        <v>139</v>
      </c>
      <c r="E82" s="2">
        <v>139</v>
      </c>
      <c r="F82" s="2">
        <v>225</v>
      </c>
      <c r="G82" s="2">
        <v>139</v>
      </c>
      <c r="H82" s="2">
        <v>139</v>
      </c>
      <c r="I82" s="2">
        <v>139</v>
      </c>
      <c r="J82" s="2">
        <v>89</v>
      </c>
      <c r="K82" s="2">
        <v>89</v>
      </c>
      <c r="L82" s="2">
        <v>89</v>
      </c>
      <c r="M82" s="2">
        <v>89</v>
      </c>
      <c r="N82" s="2">
        <v>175</v>
      </c>
      <c r="O82" s="2">
        <v>175</v>
      </c>
      <c r="P82" s="9"/>
      <c r="Q82" s="2">
        <f>SUM(OSRRefD21_14_0x)+IFERROR(SUM(OSRRefE21_14_0x),0)</f>
        <v>1626</v>
      </c>
    </row>
    <row r="83" spans="1:17" s="34" customFormat="1" collapsed="1" x14ac:dyDescent="0.25">
      <c r="A83" s="35"/>
      <c r="B83" s="11" t="str">
        <f>CONCATENATE("     ","Training                                          ")</f>
        <v xml:space="preserve">     Training                                          </v>
      </c>
      <c r="C83" s="11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SUM(OSRRefD21_15x_6)</f>
        <v>0</v>
      </c>
      <c r="K83" s="1">
        <f>SUM(OSRRefD21_15x_7)</f>
        <v>0</v>
      </c>
      <c r="L83" s="1">
        <f>SUM(OSRRefD21_15x_8)</f>
        <v>0</v>
      </c>
      <c r="M83" s="1">
        <f>SUM(OSRRefD21_15x_9)</f>
        <v>0</v>
      </c>
      <c r="N83" s="1">
        <f>SUM(OSRRefE21_15x_0)</f>
        <v>0</v>
      </c>
      <c r="O83" s="1">
        <f>SUM(OSRRefE21_15x_1)</f>
        <v>0</v>
      </c>
      <c r="Q83" s="2">
        <f>SUM(OSRRefD20_15x)+IFERROR(SUM(OSRRefE20_15x),0)</f>
        <v>0</v>
      </c>
    </row>
    <row r="84" spans="1:17" s="34" customFormat="1" hidden="1" outlineLevel="1" x14ac:dyDescent="0.25">
      <c r="A84" s="35"/>
      <c r="B84" s="10" t="str">
        <f>CONCATENATE("          ","6376", " - ","TRAINING")</f>
        <v xml:space="preserve">          6376 - TRAINING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SUM(OSRRefD21_15_0x)+IFERROR(SUM(OSRRefE21_15_0x),0)</f>
        <v>0</v>
      </c>
    </row>
    <row r="85" spans="1:17" s="30" customFormat="1" x14ac:dyDescent="0.25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25">
      <c r="A86" s="23"/>
      <c r="B86" s="16" t="s">
        <v>291</v>
      </c>
      <c r="C86" s="22"/>
      <c r="D86" s="3">
        <f t="shared" ref="D86:M86" si="7">0</f>
        <v>0</v>
      </c>
      <c r="E86" s="3">
        <f t="shared" si="7"/>
        <v>0</v>
      </c>
      <c r="F86" s="3">
        <f t="shared" si="7"/>
        <v>0</v>
      </c>
      <c r="G86" s="3">
        <f t="shared" si="7"/>
        <v>0</v>
      </c>
      <c r="H86" s="3">
        <f t="shared" si="7"/>
        <v>0</v>
      </c>
      <c r="I86" s="3">
        <f t="shared" si="7"/>
        <v>0</v>
      </c>
      <c r="J86" s="3">
        <f t="shared" si="7"/>
        <v>0</v>
      </c>
      <c r="K86" s="3">
        <f t="shared" si="7"/>
        <v>0</v>
      </c>
      <c r="L86" s="3">
        <f t="shared" si="7"/>
        <v>0</v>
      </c>
      <c r="M86" s="3">
        <f t="shared" si="7"/>
        <v>0</v>
      </c>
      <c r="N86" s="3"/>
      <c r="O86" s="3"/>
      <c r="Q86" s="2">
        <f>SUM(OSRRefD23_0x)+IFERROR(SUM(OSRRefE23_0x),0)</f>
        <v>0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6"/>
      <c r="B88" s="17" t="s">
        <v>274</v>
      </c>
      <c r="C88" s="17"/>
      <c r="D88" s="8">
        <f t="shared" ref="D88:O88" si="8">IFERROR(+D21-D24+D86, 0)</f>
        <v>-51821.23000000001</v>
      </c>
      <c r="E88" s="8">
        <f t="shared" si="8"/>
        <v>-64332.539999999994</v>
      </c>
      <c r="F88" s="8">
        <f t="shared" si="8"/>
        <v>-26482.909999999996</v>
      </c>
      <c r="G88" s="8">
        <f t="shared" si="8"/>
        <v>-80190.409999999989</v>
      </c>
      <c r="H88" s="8">
        <f t="shared" si="8"/>
        <v>-49295.869999999995</v>
      </c>
      <c r="I88" s="8">
        <f t="shared" si="8"/>
        <v>-46482.1</v>
      </c>
      <c r="J88" s="8">
        <f t="shared" si="8"/>
        <v>-51385.729999999989</v>
      </c>
      <c r="K88" s="8">
        <f t="shared" si="8"/>
        <v>-46306.989999999991</v>
      </c>
      <c r="L88" s="8">
        <f t="shared" si="8"/>
        <v>-47743.709999999992</v>
      </c>
      <c r="M88" s="8">
        <f t="shared" si="8"/>
        <v>-52820.51999999999</v>
      </c>
      <c r="N88" s="8">
        <f t="shared" si="8"/>
        <v>-67994.633573846193</v>
      </c>
      <c r="O88" s="8">
        <f t="shared" si="8"/>
        <v>-61194.633573846193</v>
      </c>
      <c r="Q88" s="8">
        <f>IFERROR(+Q21-Q24+Q86, 0)</f>
        <v>-646051.27714769228</v>
      </c>
    </row>
    <row r="89" spans="1:17" s="6" customFormat="1" x14ac:dyDescent="0.25">
      <c r="B89" s="16"/>
      <c r="C89" s="16"/>
      <c r="D89" s="4">
        <f t="shared" ref="D89:O89" si="9">IFERROR(D88/D10, 0)</f>
        <v>-2.6811591728442594</v>
      </c>
      <c r="E89" s="4">
        <f t="shared" si="9"/>
        <v>-20.377744694330058</v>
      </c>
      <c r="F89" s="4">
        <f t="shared" si="9"/>
        <v>-1.042213673615962</v>
      </c>
      <c r="G89" s="4">
        <f t="shared" si="9"/>
        <v>3.3283627436127841</v>
      </c>
      <c r="H89" s="4">
        <f t="shared" si="9"/>
        <v>0</v>
      </c>
      <c r="I89" s="4">
        <f t="shared" si="9"/>
        <v>0</v>
      </c>
      <c r="J89" s="4">
        <f t="shared" si="9"/>
        <v>320.75986267166036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-27.326514815534956</v>
      </c>
    </row>
    <row r="90" spans="1:17" x14ac:dyDescent="0.25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25">
      <c r="A91" s="25"/>
      <c r="B91" s="6" t="s">
        <v>125</v>
      </c>
      <c r="C91" s="6"/>
      <c r="D91" s="3">
        <v>9295.7000000000007</v>
      </c>
      <c r="E91" s="3">
        <v>-5499.42</v>
      </c>
      <c r="F91" s="3">
        <v>5076.54</v>
      </c>
      <c r="G91" s="3">
        <v>-3716.77</v>
      </c>
      <c r="H91" s="3">
        <v>-1373.89</v>
      </c>
      <c r="I91" s="3">
        <v>621.74</v>
      </c>
      <c r="J91" s="3">
        <v>-112.27</v>
      </c>
      <c r="K91" s="3">
        <v>390.32</v>
      </c>
      <c r="L91" s="3">
        <v>190.45</v>
      </c>
      <c r="M91" s="3">
        <v>73.59</v>
      </c>
      <c r="N91" s="3"/>
      <c r="O91" s="3"/>
      <c r="Q91" s="2">
        <f>SUM(OSRRefD28_0x)+IFERROR(SUM(OSRRefE28_0x),0)</f>
        <v>4945.989999999998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.75" thickBot="1" x14ac:dyDescent="0.3">
      <c r="A93" s="6"/>
      <c r="B93" s="17" t="s">
        <v>124</v>
      </c>
      <c r="C93" s="17"/>
      <c r="D93" s="7">
        <f t="shared" ref="D93:O93" si="10">IFERROR(+D88-D91, 0)</f>
        <v>-61116.930000000008</v>
      </c>
      <c r="E93" s="7">
        <f t="shared" si="10"/>
        <v>-58833.119999999995</v>
      </c>
      <c r="F93" s="7">
        <f t="shared" si="10"/>
        <v>-31559.449999999997</v>
      </c>
      <c r="G93" s="7">
        <f t="shared" si="10"/>
        <v>-76473.639999999985</v>
      </c>
      <c r="H93" s="7">
        <f t="shared" si="10"/>
        <v>-47921.979999999996</v>
      </c>
      <c r="I93" s="7">
        <f t="shared" si="10"/>
        <v>-47103.839999999997</v>
      </c>
      <c r="J93" s="7">
        <f t="shared" si="10"/>
        <v>-51273.459999999992</v>
      </c>
      <c r="K93" s="7">
        <f t="shared" si="10"/>
        <v>-46697.30999999999</v>
      </c>
      <c r="L93" s="7">
        <f t="shared" si="10"/>
        <v>-47934.159999999989</v>
      </c>
      <c r="M93" s="7">
        <f t="shared" si="10"/>
        <v>-52894.109999999986</v>
      </c>
      <c r="N93" s="7">
        <f t="shared" si="10"/>
        <v>-67994.633573846193</v>
      </c>
      <c r="O93" s="7">
        <f t="shared" si="10"/>
        <v>-61194.633573846193</v>
      </c>
      <c r="Q93" s="7">
        <f>IFERROR(+Q88-Q91, 0)</f>
        <v>-650997.26714769227</v>
      </c>
    </row>
    <row r="94" spans="1:17" ht="15.75" thickTop="1" x14ac:dyDescent="0.25">
      <c r="A94" s="5"/>
      <c r="B94" s="5"/>
      <c r="C94" s="5"/>
      <c r="D94" s="4">
        <f t="shared" ref="D94:O94" si="11">IFERROR(D93/D10, 0)</f>
        <v>-3.1621059068953108</v>
      </c>
      <c r="E94" s="4">
        <f t="shared" si="11"/>
        <v>-18.635768134304719</v>
      </c>
      <c r="F94" s="4">
        <f t="shared" si="11"/>
        <v>-1.2419968319870918</v>
      </c>
      <c r="G94" s="4">
        <f t="shared" si="11"/>
        <v>3.1740954341604732</v>
      </c>
      <c r="H94" s="4">
        <f t="shared" si="11"/>
        <v>0</v>
      </c>
      <c r="I94" s="4">
        <f t="shared" si="11"/>
        <v>0</v>
      </c>
      <c r="J94" s="4">
        <f t="shared" si="11"/>
        <v>320.05905118601743</v>
      </c>
      <c r="K94" s="4">
        <f t="shared" si="11"/>
        <v>0</v>
      </c>
      <c r="L94" s="4">
        <f t="shared" si="11"/>
        <v>0</v>
      </c>
      <c r="M94" s="4">
        <f t="shared" si="11"/>
        <v>0</v>
      </c>
      <c r="N94" s="4">
        <f t="shared" si="11"/>
        <v>0</v>
      </c>
      <c r="O94" s="4">
        <f t="shared" si="11"/>
        <v>0</v>
      </c>
      <c r="P94" s="18"/>
      <c r="Q94" s="4">
        <f>IFERROR(Q93/Q10, 0)</f>
        <v>-27.535719059521909</v>
      </c>
    </row>
    <row r="95" spans="1:17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.75" thickBot="1" x14ac:dyDescent="0.3">
      <c r="A97" s="6"/>
      <c r="B97" s="17" t="s">
        <v>292</v>
      </c>
      <c r="C97" s="17"/>
      <c r="D97" s="7">
        <f t="shared" ref="D97:O97" si="12">IFERROR(SUM(D93:D96), 0)</f>
        <v>-61120.092105906901</v>
      </c>
      <c r="E97" s="7">
        <f t="shared" si="12"/>
        <v>-58851.755768134302</v>
      </c>
      <c r="F97" s="7">
        <f t="shared" si="12"/>
        <v>-31560.691996831985</v>
      </c>
      <c r="G97" s="7">
        <f t="shared" si="12"/>
        <v>-76470.465904565819</v>
      </c>
      <c r="H97" s="7">
        <f t="shared" si="12"/>
        <v>-47921.979999999996</v>
      </c>
      <c r="I97" s="7">
        <f t="shared" si="12"/>
        <v>-47103.839999999997</v>
      </c>
      <c r="J97" s="7">
        <f t="shared" si="12"/>
        <v>-50953.400948813971</v>
      </c>
      <c r="K97" s="7">
        <f t="shared" si="12"/>
        <v>-46697.30999999999</v>
      </c>
      <c r="L97" s="7">
        <f t="shared" si="12"/>
        <v>-47934.159999999989</v>
      </c>
      <c r="M97" s="7">
        <f t="shared" si="12"/>
        <v>-52894.109999999986</v>
      </c>
      <c r="N97" s="7">
        <f t="shared" si="12"/>
        <v>-67994.633573846193</v>
      </c>
      <c r="O97" s="7">
        <f t="shared" si="12"/>
        <v>-61194.633573846193</v>
      </c>
      <c r="Q97" s="7">
        <f>IFERROR(SUM(Q93:Q96), 0)</f>
        <v>-651024.80286675179</v>
      </c>
    </row>
    <row r="98" spans="1:17" ht="15.75" thickTop="1" x14ac:dyDescent="0.25">
      <c r="A98" s="5"/>
      <c r="C98" s="5"/>
      <c r="D98" s="4">
        <f t="shared" ref="D98:O98" si="13">IFERROR(D97/D10, 0)</f>
        <v>-3.1622695099062343</v>
      </c>
      <c r="E98" s="4">
        <f t="shared" si="13"/>
        <v>-18.64167113339699</v>
      </c>
      <c r="F98" s="4">
        <f t="shared" si="13"/>
        <v>-1.2420457097758575</v>
      </c>
      <c r="G98" s="4">
        <f t="shared" si="13"/>
        <v>3.173963690963403</v>
      </c>
      <c r="H98" s="4">
        <f t="shared" si="13"/>
        <v>0</v>
      </c>
      <c r="I98" s="4">
        <f t="shared" si="13"/>
        <v>0</v>
      </c>
      <c r="J98" s="4">
        <f t="shared" si="13"/>
        <v>318.06117945576761</v>
      </c>
      <c r="K98" s="4">
        <f t="shared" si="13"/>
        <v>0</v>
      </c>
      <c r="L98" s="4">
        <f t="shared" si="13"/>
        <v>0</v>
      </c>
      <c r="M98" s="4">
        <f t="shared" si="13"/>
        <v>0</v>
      </c>
      <c r="N98" s="4">
        <f t="shared" si="13"/>
        <v>0</v>
      </c>
      <c r="O98" s="4">
        <f t="shared" si="13"/>
        <v>0</v>
      </c>
      <c r="P98" s="18"/>
      <c r="Q98" s="4">
        <f>IFERROR(Q97/Q10, 0)</f>
        <v>-27.53688375845751</v>
      </c>
    </row>
    <row r="99" spans="1:17" x14ac:dyDescent="0.25">
      <c r="A99" s="5"/>
      <c r="B99" s="27">
        <v>44330.012769791669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25">
      <c r="A100" s="5"/>
      <c r="B100" s="31" t="s">
        <v>54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25">
      <c r="A101" s="5"/>
      <c r="B101" s="26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25"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24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","435", " - ", "Ground Floor Coffee House")</f>
        <v>Department 435 - Ground Floor Coffee House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3"/>
      <c r="B12" s="16" t="s">
        <v>217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4">
        <f>SUM(OSRRefD20x_0)</f>
        <v>75.5</v>
      </c>
      <c r="E17" s="14">
        <f>SUM(OSRRefD20x_1)</f>
        <v>75.5</v>
      </c>
      <c r="F17" s="14">
        <f>SUM(OSRRefD20x_2)</f>
        <v>0</v>
      </c>
      <c r="G17" s="14">
        <f>SUM(OSRRefD20x_3)</f>
        <v>27.69</v>
      </c>
      <c r="H17" s="14">
        <f>SUM(OSRRefD20x_4)</f>
        <v>0</v>
      </c>
      <c r="I17" s="14">
        <f>SUM(OSRRefD20x_5)</f>
        <v>0</v>
      </c>
      <c r="J17" s="14">
        <f>SUM(OSRRefD20x_6)</f>
        <v>0</v>
      </c>
      <c r="K17" s="14">
        <f>SUM(OSRRefD20x_7)</f>
        <v>0</v>
      </c>
      <c r="L17" s="14">
        <f>SUM(OSRRefD20x_8)</f>
        <v>0</v>
      </c>
      <c r="M17" s="14">
        <f>SUM(OSRRefD20x_9)</f>
        <v>0</v>
      </c>
      <c r="N17" s="14">
        <f>SUM(OSRRefE20x_0)</f>
        <v>0</v>
      </c>
      <c r="O17" s="14">
        <f>SUM(OSRRefE20x_1)</f>
        <v>0</v>
      </c>
      <c r="Q17" s="14">
        <f>SUM(OSRRefG20x)</f>
        <v>178.69</v>
      </c>
    </row>
    <row r="18" spans="1:17" s="34" customFormat="1" collapsed="1" x14ac:dyDescent="0.25">
      <c r="A18" s="35"/>
      <c r="B18" s="11" t="str">
        <f>CONCATENATE("     ","Telephone/Data Lines                              ")</f>
        <v xml:space="preserve">     Telephone/Data Lines                              </v>
      </c>
      <c r="C18" s="11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SUM(OSRRefE21_0x_0)</f>
        <v>0</v>
      </c>
      <c r="O18" s="1">
        <f>SUM(OSRRefE21_0x_1)</f>
        <v>0</v>
      </c>
      <c r="Q18" s="2">
        <f>SUM(OSRRefD20_0x)+IFERROR(SUM(OSRRefE20_0x),0)</f>
        <v>178.69</v>
      </c>
    </row>
    <row r="19" spans="1:17" s="34" customFormat="1" hidden="1" outlineLevel="1" x14ac:dyDescent="0.25">
      <c r="A19" s="35"/>
      <c r="B19" s="10" t="str">
        <f>CONCATENATE("          ","6309", " - ","TELEPHONE")</f>
        <v xml:space="preserve">          6309 - TELEPHONE</v>
      </c>
      <c r="C19" s="11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3"/>
      <c r="B21" s="16" t="s">
        <v>291</v>
      </c>
      <c r="C21" s="22"/>
      <c r="D21" s="3">
        <f t="shared" ref="D21:M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>
        <f t="shared" si="4"/>
        <v>0</v>
      </c>
      <c r="L21" s="3">
        <f t="shared" si="4"/>
        <v>0</v>
      </c>
      <c r="M21" s="3">
        <f t="shared" si="4"/>
        <v>0</v>
      </c>
      <c r="N21" s="3"/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274</v>
      </c>
      <c r="C23" s="17"/>
      <c r="D23" s="8">
        <f t="shared" ref="D23:O23" si="5">IFERROR(+D14-D17+D21, 0)</f>
        <v>-75.5</v>
      </c>
      <c r="E23" s="8">
        <f t="shared" si="5"/>
        <v>-75.5</v>
      </c>
      <c r="F23" s="8">
        <f t="shared" si="5"/>
        <v>0</v>
      </c>
      <c r="G23" s="8">
        <f t="shared" si="5"/>
        <v>-27.69</v>
      </c>
      <c r="H23" s="8">
        <f t="shared" si="5"/>
        <v>0</v>
      </c>
      <c r="I23" s="8">
        <f t="shared" si="5"/>
        <v>0</v>
      </c>
      <c r="J23" s="8">
        <f t="shared" si="5"/>
        <v>0</v>
      </c>
      <c r="K23" s="8">
        <f t="shared" si="5"/>
        <v>0</v>
      </c>
      <c r="L23" s="8">
        <f t="shared" si="5"/>
        <v>0</v>
      </c>
      <c r="M23" s="8">
        <f t="shared" si="5"/>
        <v>0</v>
      </c>
      <c r="N23" s="8">
        <f t="shared" si="5"/>
        <v>0</v>
      </c>
      <c r="O23" s="8">
        <f t="shared" si="5"/>
        <v>0</v>
      </c>
      <c r="Q23" s="8">
        <f>IFERROR(+Q14-Q17+Q21, 0)</f>
        <v>-178.69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7">
        <f t="shared" ref="D28:O28" si="7">IFERROR(+D23-D26, 0)</f>
        <v>-75.5</v>
      </c>
      <c r="E28" s="7">
        <f t="shared" si="7"/>
        <v>-75.5</v>
      </c>
      <c r="F28" s="7">
        <f t="shared" si="7"/>
        <v>0</v>
      </c>
      <c r="G28" s="7">
        <f t="shared" si="7"/>
        <v>-27.69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-178.69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292</v>
      </c>
      <c r="C32" s="17"/>
      <c r="D32" s="7">
        <f t="shared" ref="D32:O32" si="9">IFERROR(SUM(D28:D31), 0)</f>
        <v>-75.5</v>
      </c>
      <c r="E32" s="7">
        <f t="shared" si="9"/>
        <v>-75.5</v>
      </c>
      <c r="F32" s="7">
        <f t="shared" si="9"/>
        <v>0</v>
      </c>
      <c r="G32" s="7">
        <f t="shared" si="9"/>
        <v>-27.69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-178.69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7">
        <v>44330.012769791669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25">
      <c r="A35" s="5"/>
      <c r="B35" s="31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25">
      <c r="A36" s="5"/>
      <c r="B36" s="26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SUM(OSRRefE11x_0)</f>
        <v>82346</v>
      </c>
      <c r="O10" s="3">
        <f>SUM(OSRRefE11x_1)</f>
        <v>0</v>
      </c>
      <c r="P10" s="24"/>
      <c r="Q10" s="3">
        <f>SUM(OSRRefG11x)</f>
        <v>1000059.98</v>
      </c>
      <c r="R10" s="24"/>
    </row>
    <row r="11" spans="1:18" s="9" customFormat="1" hidden="1" outlineLevel="1" x14ac:dyDescent="0.25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/>
      <c r="O11" s="2"/>
      <c r="Q11" s="2">
        <f>SUM(OSRRefD11_0x)+IFERROR(SUM(OSRRefE11_0x),0)</f>
        <v>867.25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M12" si="3">0</f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v>82346</v>
      </c>
      <c r="O12" s="2">
        <v>0</v>
      </c>
      <c r="Q12" s="2">
        <f>SUM(OSRRefD11_1x)+IFERROR(SUM(OSRRefE11_1x),0)</f>
        <v>82346</v>
      </c>
    </row>
    <row r="13" spans="1:18" s="9" customFormat="1" hidden="1" outlineLevel="1" x14ac:dyDescent="0.25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>
        <f>--85567.69</f>
        <v>85567.69</v>
      </c>
      <c r="N13" s="2"/>
      <c r="O13" s="2"/>
      <c r="Q13" s="2">
        <f>SUM(OSRRefD11_2x)+IFERROR(SUM(OSRRefE11_2x),0)</f>
        <v>876732.72</v>
      </c>
    </row>
    <row r="14" spans="1:18" s="9" customFormat="1" hidden="1" outlineLevel="1" x14ac:dyDescent="0.25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>
        <f>--2367.96</f>
        <v>2367.96</v>
      </c>
      <c r="K14" s="2">
        <f>--5865.41</f>
        <v>5865.41</v>
      </c>
      <c r="L14" s="2">
        <f>--5170.79</f>
        <v>5170.79</v>
      </c>
      <c r="M14" s="2">
        <f>--4436.92</f>
        <v>4436.92</v>
      </c>
      <c r="N14" s="2"/>
      <c r="O14" s="2"/>
      <c r="Q14" s="2">
        <f>SUM(OSRRefD11_3x)+IFERROR(SUM(OSRRefE11_3x),0)</f>
        <v>40114.009999999995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3"/>
      <c r="B16" s="16" t="s">
        <v>217</v>
      </c>
      <c r="C16" s="22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SUM(OSRRefD14x_9)</f>
        <v>46906.81</v>
      </c>
      <c r="N16" s="3">
        <f>SUM(OSRRefE14x_0)</f>
        <v>23057</v>
      </c>
      <c r="O16" s="3">
        <f>SUM(OSRRefE14x_1)</f>
        <v>0</v>
      </c>
      <c r="Q16" s="3">
        <f>SUM(OSRRefG14x)</f>
        <v>413624.26</v>
      </c>
    </row>
    <row r="17" spans="1:17" s="9" customFormat="1" hidden="1" outlineLevel="1" x14ac:dyDescent="0.25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23057</v>
      </c>
      <c r="O17" s="2">
        <v>0</v>
      </c>
      <c r="Q17" s="2">
        <f>SUM(OSRRefD14_0x)+IFERROR(SUM(OSRRefE14_0x),0)</f>
        <v>23057</v>
      </c>
    </row>
    <row r="18" spans="1:17" s="9" customFormat="1" hidden="1" outlineLevel="1" x14ac:dyDescent="0.25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70404.3</v>
      </c>
      <c r="F18" s="2">
        <v>40326.199999999997</v>
      </c>
      <c r="G18" s="2">
        <v>60766.03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>
        <v>46411.81</v>
      </c>
      <c r="N18" s="2"/>
      <c r="O18" s="2"/>
      <c r="Q18" s="2">
        <f>SUM(OSRRefD14_1x)+IFERROR(SUM(OSRRefE14_1x),0)</f>
        <v>405258.96</v>
      </c>
    </row>
    <row r="19" spans="1:17" s="9" customFormat="1" hidden="1" outlineLevel="1" x14ac:dyDescent="0.25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>
        <v>495</v>
      </c>
      <c r="N19" s="2"/>
      <c r="O19" s="2"/>
      <c r="Q19" s="2">
        <f>SUM(OSRRefD14_2x)+IFERROR(SUM(OSRRefE14_2x),0)</f>
        <v>-14691.7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4">IFERROR(+D10-D16, 0)</f>
        <v>0</v>
      </c>
      <c r="E21" s="8">
        <f t="shared" si="4"/>
        <v>14025.779999999999</v>
      </c>
      <c r="F21" s="8">
        <f t="shared" si="4"/>
        <v>140752.98000000001</v>
      </c>
      <c r="G21" s="8">
        <f t="shared" si="4"/>
        <v>115409.07</v>
      </c>
      <c r="H21" s="8">
        <f t="shared" si="4"/>
        <v>66500.89</v>
      </c>
      <c r="I21" s="8">
        <f t="shared" si="4"/>
        <v>50467.13</v>
      </c>
      <c r="J21" s="8">
        <f t="shared" si="4"/>
        <v>6428.7799999999988</v>
      </c>
      <c r="K21" s="8">
        <f t="shared" si="4"/>
        <v>42400.41</v>
      </c>
      <c r="L21" s="8">
        <f t="shared" si="4"/>
        <v>47902.69999999999</v>
      </c>
      <c r="M21" s="8">
        <f t="shared" si="4"/>
        <v>43258.979999999996</v>
      </c>
      <c r="N21" s="8">
        <f t="shared" si="4"/>
        <v>59289</v>
      </c>
      <c r="O21" s="8">
        <f t="shared" si="4"/>
        <v>0</v>
      </c>
      <c r="Q21" s="8">
        <f>IFERROR(+Q10-Q16, 0)</f>
        <v>586435.72</v>
      </c>
    </row>
    <row r="22" spans="1:17" s="6" customFormat="1" x14ac:dyDescent="0.2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0.16736667677652567</v>
      </c>
      <c r="K22" s="4">
        <f t="shared" si="5"/>
        <v>0.50093605613076009</v>
      </c>
      <c r="L22" s="4">
        <f t="shared" si="5"/>
        <v>0.52183443551481234</v>
      </c>
      <c r="M22" s="4">
        <f t="shared" si="5"/>
        <v>0.47977154084714391</v>
      </c>
      <c r="N22" s="4">
        <f t="shared" si="5"/>
        <v>0.71999854273431618</v>
      </c>
      <c r="O22" s="4">
        <f t="shared" si="5"/>
        <v>0</v>
      </c>
      <c r="P22" s="18"/>
      <c r="Q22" s="4">
        <f>IFERROR(Q21/Q10, 0)</f>
        <v>0.58640054769514927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4">
        <f>SUM(OSRRefD20x_0)</f>
        <v>64552.840000000004</v>
      </c>
      <c r="E24" s="14">
        <f>SUM(OSRRefD20x_1)</f>
        <v>94892.49</v>
      </c>
      <c r="F24" s="14">
        <f>SUM(OSRRefD20x_2)</f>
        <v>134039.1</v>
      </c>
      <c r="G24" s="14">
        <f>SUM(OSRRefD20x_3)</f>
        <v>163912.78</v>
      </c>
      <c r="H24" s="14">
        <f>SUM(OSRRefD20x_4)</f>
        <v>135622.01</v>
      </c>
      <c r="I24" s="14">
        <f>SUM(OSRRefD20x_5)</f>
        <v>146486.13</v>
      </c>
      <c r="J24" s="14">
        <f>SUM(OSRRefD20x_6)</f>
        <v>69417.710000000021</v>
      </c>
      <c r="K24" s="14">
        <f>SUM(OSRRefD20x_7)</f>
        <v>110408.29000000004</v>
      </c>
      <c r="L24" s="14">
        <f>SUM(OSRRefD20x_8)</f>
        <v>116953.97000000002</v>
      </c>
      <c r="M24" s="14">
        <f>SUM(OSRRefD20x_9)</f>
        <v>132515.53999999998</v>
      </c>
      <c r="N24" s="14">
        <f>SUM(OSRRefE20x_0)</f>
        <v>115555.25310476928</v>
      </c>
      <c r="O24" s="14">
        <f>SUM(OSRRefE20x_1)</f>
        <v>80173.683104769298</v>
      </c>
      <c r="Q24" s="14">
        <f>SUM(OSRRefG20x)</f>
        <v>1364529.7962095388</v>
      </c>
    </row>
    <row r="25" spans="1:17" s="34" customFormat="1" collapsed="1" x14ac:dyDescent="0.25">
      <c r="A25" s="35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28409.810000000005</v>
      </c>
      <c r="E25" s="1">
        <f>SUM(OSRRefD21_0x_1)</f>
        <v>27394.100000000002</v>
      </c>
      <c r="F25" s="1">
        <f>SUM(OSRRefD21_0x_2)</f>
        <v>29955.02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SUM(OSRRefD21_0x_6)</f>
        <v>28877.140000000003</v>
      </c>
      <c r="K25" s="1">
        <f>SUM(OSRRefD21_0x_7)</f>
        <v>30715.700000000004</v>
      </c>
      <c r="L25" s="1">
        <f>SUM(OSRRefD21_0x_8)</f>
        <v>31027.86</v>
      </c>
      <c r="M25" s="1">
        <f>SUM(OSRRefD21_0x_9)</f>
        <v>33685.910000000003</v>
      </c>
      <c r="N25" s="1">
        <f>SUM(OSRRefE21_0x_0)</f>
        <v>35086.540643230786</v>
      </c>
      <c r="O25" s="1">
        <f>SUM(OSRRefE21_0x_1)</f>
        <v>33686.77064323079</v>
      </c>
      <c r="Q25" s="2">
        <f>SUM(OSRRefD20_0x)+IFERROR(SUM(OSRRefE20_0x),0)</f>
        <v>379444.51128646161</v>
      </c>
    </row>
    <row r="26" spans="1:17" s="34" customFormat="1" hidden="1" outlineLevel="1" x14ac:dyDescent="0.25">
      <c r="A26" s="35"/>
      <c r="B26" s="10" t="str">
        <f>CONCATENATE("          ","6111", " - ","F.I.C.A.")</f>
        <v xml:space="preserve">          6111 - F.I.C.A.</v>
      </c>
      <c r="C26" s="11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3152.67</v>
      </c>
      <c r="K26" s="2">
        <v>3316.77</v>
      </c>
      <c r="L26" s="2">
        <v>3344.8</v>
      </c>
      <c r="M26" s="2">
        <v>4952.2299999999996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42762.136409538456</v>
      </c>
    </row>
    <row r="27" spans="1:17" s="34" customFormat="1" hidden="1" outlineLevel="1" x14ac:dyDescent="0.25">
      <c r="A27" s="35"/>
      <c r="B27" s="10" t="str">
        <f>CONCATENATE("          ","6112", " - ","COMPENSATION INSURANCE")</f>
        <v xml:space="preserve">          6112 - COMPENSATION INSURANCE</v>
      </c>
      <c r="C27" s="11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75.34</v>
      </c>
      <c r="K27" s="2">
        <v>2419.13</v>
      </c>
      <c r="L27" s="2">
        <v>2358.86</v>
      </c>
      <c r="M27" s="2">
        <v>2152.6799999999998</v>
      </c>
      <c r="N27" s="2">
        <v>2573.3578200000002</v>
      </c>
      <c r="O27" s="2">
        <v>1777.99182</v>
      </c>
      <c r="P27" s="9"/>
      <c r="Q27" s="2">
        <f>SUM(OSRRefD21_0_1x)+IFERROR(SUM(OSRRefE21_0_1x),0)</f>
        <v>28548.109640000002</v>
      </c>
    </row>
    <row r="28" spans="1:17" s="34" customFormat="1" hidden="1" outlineLevel="1" x14ac:dyDescent="0.25">
      <c r="A28" s="35"/>
      <c r="B28" s="10" t="str">
        <f>CONCATENATE("          ","6113", " - ","GROUP INSURANCE")</f>
        <v xml:space="preserve">          6113 - GROUP INSURANCE</v>
      </c>
      <c r="C28" s="11"/>
      <c r="D28" s="2">
        <v>16509.650000000001</v>
      </c>
      <c r="E28" s="2">
        <v>16509.650000000001</v>
      </c>
      <c r="F28" s="2">
        <v>16509.650000000001</v>
      </c>
      <c r="G28" s="2">
        <v>17824.95</v>
      </c>
      <c r="H28" s="2">
        <v>17824.95</v>
      </c>
      <c r="I28" s="2">
        <v>17824.95</v>
      </c>
      <c r="J28" s="2">
        <v>17691.580000000002</v>
      </c>
      <c r="K28" s="2">
        <v>17691.580000000002</v>
      </c>
      <c r="L28" s="2">
        <v>17691.580000000002</v>
      </c>
      <c r="M28" s="2">
        <v>17691.580000000002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212909.35076923086</v>
      </c>
    </row>
    <row r="29" spans="1:17" s="34" customFormat="1" hidden="1" outlineLevel="1" x14ac:dyDescent="0.25">
      <c r="A29" s="35"/>
      <c r="B29" s="10" t="str">
        <f>CONCATENATE("          ","6114", " - ","STATE UNEMPLOYMENT INSURANCE")</f>
        <v xml:space="preserve">          6114 - STATE UNEMPLOYMENT INSURANCE</v>
      </c>
      <c r="C29" s="11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274.18</v>
      </c>
      <c r="K29" s="2">
        <v>149.69999999999999</v>
      </c>
      <c r="L29" s="2">
        <v>147.01</v>
      </c>
      <c r="M29" s="2">
        <v>130.97999999999999</v>
      </c>
      <c r="N29" s="2">
        <v>155.96108000000001</v>
      </c>
      <c r="O29" s="2">
        <v>107.75708</v>
      </c>
      <c r="P29" s="9"/>
      <c r="Q29" s="2">
        <f>SUM(OSRRefD21_0_3x)+IFERROR(SUM(OSRRefE21_0_3x),0)</f>
        <v>1809.9581600000001</v>
      </c>
    </row>
    <row r="30" spans="1:17" s="34" customFormat="1" hidden="1" outlineLevel="1" x14ac:dyDescent="0.25">
      <c r="A30" s="35"/>
      <c r="B30" s="10" t="str">
        <f>CONCATENATE("          ","6115", " - ","P.E.R.S.")</f>
        <v xml:space="preserve">          6115 - P.E.R.S.</v>
      </c>
      <c r="C30" s="11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2186.25</v>
      </c>
      <c r="K30" s="2">
        <v>1457.5</v>
      </c>
      <c r="L30" s="2">
        <v>1457.5</v>
      </c>
      <c r="M30" s="2">
        <v>1457.5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19656.059692307699</v>
      </c>
    </row>
    <row r="31" spans="1:17" s="34" customFormat="1" hidden="1" outlineLevel="1" x14ac:dyDescent="0.25">
      <c r="A31" s="35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0" t="str">
        <f>CONCATENATE("          ","6117", " - ","RETIREMENT STAFF HOURLY")</f>
        <v xml:space="preserve">          6117 - RETIREMENT STAFF HOURLY</v>
      </c>
      <c r="C32" s="11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>
        <v>531.84</v>
      </c>
      <c r="K32" s="2">
        <v>490.44</v>
      </c>
      <c r="L32" s="2">
        <v>719.11</v>
      </c>
      <c r="M32" s="2">
        <v>531.49</v>
      </c>
      <c r="N32" s="2"/>
      <c r="O32" s="2"/>
      <c r="P32" s="9"/>
      <c r="Q32" s="2">
        <f>SUM(OSRRefD21_0_6x)+IFERROR(SUM(OSRRefE21_0_6x),0)</f>
        <v>5468.1</v>
      </c>
    </row>
    <row r="33" spans="1:17" s="34" customFormat="1" hidden="1" outlineLevel="1" x14ac:dyDescent="0.25">
      <c r="A33" s="35"/>
      <c r="B33" s="10" t="str">
        <f>CONCATENATE("          ","6118", " - ","VACATION")</f>
        <v xml:space="preserve">          6118 - VACATION</v>
      </c>
      <c r="C33" s="11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2606.96</v>
      </c>
      <c r="K33" s="2">
        <v>2606.96</v>
      </c>
      <c r="L33" s="2">
        <v>2606.96</v>
      </c>
      <c r="M33" s="2">
        <v>3910.44</v>
      </c>
      <c r="N33" s="2">
        <v>3283.8667692307699</v>
      </c>
      <c r="O33" s="2">
        <v>3283.8667692307699</v>
      </c>
      <c r="P33" s="9"/>
      <c r="Q33" s="2">
        <f>SUM(OSRRefD21_0_7x)+IFERROR(SUM(OSRRefE21_0_7x),0)</f>
        <v>34331.993538461538</v>
      </c>
    </row>
    <row r="34" spans="1:17" s="34" customFormat="1" hidden="1" outlineLevel="1" x14ac:dyDescent="0.25">
      <c r="A34" s="35"/>
      <c r="B34" s="10" t="str">
        <f>CONCATENATE("          ","6119", " - ","SICK LEAVE")</f>
        <v xml:space="preserve">          6119 - SICK LEAVE</v>
      </c>
      <c r="C34" s="11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1633.22</v>
      </c>
      <c r="K34" s="2">
        <v>1633.22</v>
      </c>
      <c r="L34" s="2">
        <v>1633.22</v>
      </c>
      <c r="M34" s="2">
        <v>2449.83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22115.953076923077</v>
      </c>
    </row>
    <row r="35" spans="1:17" s="34" customFormat="1" hidden="1" outlineLevel="1" x14ac:dyDescent="0.25">
      <c r="A35" s="35"/>
      <c r="B35" s="10" t="str">
        <f>CONCATENATE("          ","6156", " - ","EMPLOYEE MEALS")</f>
        <v xml:space="preserve">          6156 - EMPLOYEE MEALS</v>
      </c>
      <c r="C35" s="11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725.1</v>
      </c>
      <c r="K35" s="2">
        <v>950.4</v>
      </c>
      <c r="L35" s="2">
        <v>1068.82</v>
      </c>
      <c r="M35" s="2">
        <v>409.18</v>
      </c>
      <c r="N35" s="2">
        <v>1925</v>
      </c>
      <c r="O35" s="2">
        <v>1925</v>
      </c>
      <c r="P35" s="9"/>
      <c r="Q35" s="2">
        <f>SUM(OSRRefD21_0_9x)+IFERROR(SUM(OSRRefE21_0_9x),0)</f>
        <v>11842.849999999999</v>
      </c>
    </row>
    <row r="36" spans="1:17" s="34" customFormat="1" collapsed="1" x14ac:dyDescent="0.25">
      <c r="A36" s="35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57552.08</v>
      </c>
      <c r="I36" s="1">
        <f>SUM(OSRRefD21_1x_5)</f>
        <v>49072.63</v>
      </c>
      <c r="J36" s="1">
        <f>SUM(OSRRefD21_1x_6)</f>
        <v>51997.840000000004</v>
      </c>
      <c r="K36" s="1">
        <f>SUM(OSRRefD21_1x_7)</f>
        <v>49455.91</v>
      </c>
      <c r="L36" s="1">
        <f>SUM(OSRRefD21_1x_8)</f>
        <v>54784.21</v>
      </c>
      <c r="M36" s="1">
        <f>SUM(OSRRefD21_1x_9)</f>
        <v>63536.719999999994</v>
      </c>
      <c r="N36" s="1">
        <f>SUM(OSRRefE21_1x_0)</f>
        <v>54072.712461538496</v>
      </c>
      <c r="O36" s="1">
        <f>SUM(OSRRefE21_1x_1)</f>
        <v>36088.912461538501</v>
      </c>
      <c r="Q36" s="2">
        <f>SUM(OSRRefD20_1x)+IFERROR(SUM(OSRRefE20_1x),0)</f>
        <v>637883.33492307714</v>
      </c>
    </row>
    <row r="37" spans="1:17" s="34" customFormat="1" hidden="1" outlineLevel="1" x14ac:dyDescent="0.25">
      <c r="A37" s="35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0" t="str">
        <f>CONCATENATE("          ","6002", " - ","STAFF SALARIES")</f>
        <v xml:space="preserve">          6002 - STAFF SALARIES</v>
      </c>
      <c r="C38" s="11"/>
      <c r="D38" s="2">
        <v>18321.599999999999</v>
      </c>
      <c r="E38" s="2">
        <v>15464.24</v>
      </c>
      <c r="F38" s="2">
        <v>14008.24</v>
      </c>
      <c r="G38" s="2">
        <v>14999.03</v>
      </c>
      <c r="H38" s="2">
        <v>10950.96</v>
      </c>
      <c r="I38" s="2">
        <v>14751.16</v>
      </c>
      <c r="J38" s="2">
        <v>18971.47</v>
      </c>
      <c r="K38" s="2">
        <v>15265.92</v>
      </c>
      <c r="L38" s="2">
        <v>14347.27</v>
      </c>
      <c r="M38" s="2">
        <v>17425.37</v>
      </c>
      <c r="N38" s="2">
        <v>17815.8884615385</v>
      </c>
      <c r="O38" s="2">
        <v>17815.8884615385</v>
      </c>
      <c r="P38" s="9"/>
      <c r="Q38" s="2">
        <f>SUM(OSRRefD21_1_1x)+IFERROR(SUM(OSRRefE21_1_1x),0)</f>
        <v>190137.03692307699</v>
      </c>
    </row>
    <row r="39" spans="1:17" s="34" customFormat="1" hidden="1" outlineLevel="1" x14ac:dyDescent="0.25">
      <c r="A39" s="35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0" t="str">
        <f>CONCATENATE("          ","6004", " - ","STAFF HOURLY")</f>
        <v xml:space="preserve">          6004 - STAFF HOURLY</v>
      </c>
      <c r="C40" s="11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16729.490000000002</v>
      </c>
      <c r="I40" s="2">
        <v>10936.34</v>
      </c>
      <c r="J40" s="2">
        <v>12416.84</v>
      </c>
      <c r="K40" s="2">
        <v>12619.44</v>
      </c>
      <c r="L40" s="2">
        <v>17885.939999999999</v>
      </c>
      <c r="M40" s="2">
        <v>28528.41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205516.43799999999</v>
      </c>
    </row>
    <row r="41" spans="1:17" s="34" customFormat="1" hidden="1" outlineLevel="1" x14ac:dyDescent="0.25">
      <c r="A41" s="35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10614.88</v>
      </c>
      <c r="N41" s="2">
        <v>17983.8</v>
      </c>
      <c r="O41" s="2">
        <v>0</v>
      </c>
      <c r="P41" s="9"/>
      <c r="Q41" s="2">
        <f>SUM(OSRRefD21_1_4x)+IFERROR(SUM(OSRRefE21_1_4x),0)</f>
        <v>117957.87</v>
      </c>
    </row>
    <row r="42" spans="1:17" s="34" customFormat="1" hidden="1" outlineLevel="1" x14ac:dyDescent="0.25">
      <c r="A42" s="35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847.56</v>
      </c>
      <c r="N42" s="2">
        <v>0</v>
      </c>
      <c r="O42" s="2">
        <v>0</v>
      </c>
      <c r="P42" s="9"/>
      <c r="Q42" s="2">
        <f>SUM(OSRRefD21_1_5x)+IFERROR(SUM(OSRRefE21_1_5x),0)</f>
        <v>2174.52</v>
      </c>
    </row>
    <row r="43" spans="1:17" s="34" customFormat="1" hidden="1" outlineLevel="1" x14ac:dyDescent="0.25">
      <c r="A43" s="35"/>
      <c r="B43" s="10" t="str">
        <f>CONCATENATE("          ","6007", " - ","STUDENT HOURLY")</f>
        <v xml:space="preserve">          6007 - STUDENT HOURLY</v>
      </c>
      <c r="C43" s="11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12029.58</v>
      </c>
      <c r="K43" s="2">
        <v>11299.19</v>
      </c>
      <c r="L43" s="2">
        <v>12879.89</v>
      </c>
      <c r="M43" s="2">
        <v>6120.5</v>
      </c>
      <c r="N43" s="2">
        <v>0</v>
      </c>
      <c r="O43" s="2">
        <v>0</v>
      </c>
      <c r="P43" s="9"/>
      <c r="Q43" s="2">
        <f>SUM(OSRRefD21_1_6x)+IFERROR(SUM(OSRRefE21_1_6x),0)</f>
        <v>111466.59</v>
      </c>
    </row>
    <row r="44" spans="1:17" s="34" customFormat="1" hidden="1" outlineLevel="1" x14ac:dyDescent="0.25">
      <c r="A44" s="35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/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4" customFormat="1" hidden="1" outlineLevel="1" x14ac:dyDescent="0.25">
      <c r="A45" s="35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SUM(OSRRefD21_2x_9)</f>
        <v>122.76</v>
      </c>
      <c r="N47" s="1">
        <f>SUM(OSRRefE21_2x_0)</f>
        <v>369</v>
      </c>
      <c r="O47" s="1">
        <f>SUM(OSRRefE21_2x_1)</f>
        <v>369</v>
      </c>
      <c r="Q47" s="2">
        <f>SUM(OSRRefD20_2x)+IFERROR(SUM(OSRRefE20_2x),0)</f>
        <v>2101.1800000000003</v>
      </c>
    </row>
    <row r="48" spans="1:17" s="34" customFormat="1" hidden="1" outlineLevel="1" x14ac:dyDescent="0.25">
      <c r="A48" s="35"/>
      <c r="B48" s="10" t="str">
        <f>CONCATENATE("          ","6362", " - ","ADVERTISING EXPENSE")</f>
        <v xml:space="preserve">          6362 - ADVERTISING EXPENSE</v>
      </c>
      <c r="C48" s="11"/>
      <c r="D48" s="2">
        <v>519.74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122.76</v>
      </c>
      <c r="N48" s="2">
        <v>369</v>
      </c>
      <c r="O48" s="2">
        <v>369</v>
      </c>
      <c r="P48" s="9"/>
      <c r="Q48" s="2">
        <f>SUM(OSRRefD21_2_0x)+IFERROR(SUM(OSRRefE21_2_0x),0)</f>
        <v>2101.1800000000003</v>
      </c>
    </row>
    <row r="49" spans="1:17" s="34" customFormat="1" collapsed="1" x14ac:dyDescent="0.25">
      <c r="A49" s="35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SUM(OSRRefD21_3x_9)</f>
        <v>0</v>
      </c>
      <c r="N49" s="1">
        <f>SUM(OSRRefE21_3x_0)</f>
        <v>8</v>
      </c>
      <c r="O49" s="1">
        <f>SUM(OSRRefE21_3x_1)</f>
        <v>0</v>
      </c>
      <c r="Q49" s="2">
        <f>SUM(OSRRefD20_3x)+IFERROR(SUM(OSRRefE20_3x),0)</f>
        <v>31.8</v>
      </c>
    </row>
    <row r="50" spans="1:17" s="34" customFormat="1" hidden="1" outlineLevel="1" x14ac:dyDescent="0.25">
      <c r="A50" s="35"/>
      <c r="B50" s="10" t="str">
        <f>CONCATENATE("          ","6272", " - ","CASH (OVER/SHORT)")</f>
        <v xml:space="preserve">          6272 - CASH (OVER/SHORT)</v>
      </c>
      <c r="C50" s="11"/>
      <c r="D50" s="2"/>
      <c r="E50" s="2">
        <v>32</v>
      </c>
      <c r="F50" s="2"/>
      <c r="G50" s="2">
        <v>8</v>
      </c>
      <c r="H50" s="2"/>
      <c r="I50" s="2"/>
      <c r="J50" s="2"/>
      <c r="K50" s="2">
        <v>-16.2</v>
      </c>
      <c r="L50" s="2"/>
      <c r="M50" s="2"/>
      <c r="N50" s="2">
        <v>8</v>
      </c>
      <c r="O50" s="2">
        <v>0</v>
      </c>
      <c r="P50" s="9"/>
      <c r="Q50" s="2">
        <f>SUM(OSRRefD21_3_0x)+IFERROR(SUM(OSRRefE21_3_0x),0)</f>
        <v>31.8</v>
      </c>
    </row>
    <row r="51" spans="1:17" s="34" customFormat="1" collapsed="1" x14ac:dyDescent="0.25">
      <c r="A51" s="35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SUM(OSRRefD21_4x_9)</f>
        <v>79.34</v>
      </c>
      <c r="N51" s="1">
        <f>SUM(OSRRefE21_4x_0)</f>
        <v>135</v>
      </c>
      <c r="O51" s="1">
        <f>SUM(OSRRefE21_4x_1)</f>
        <v>0</v>
      </c>
      <c r="Q51" s="2">
        <f>SUM(OSRRefD20_4x)+IFERROR(SUM(OSRRefE20_4x),0)</f>
        <v>481.34000000000003</v>
      </c>
    </row>
    <row r="52" spans="1:17" s="34" customFormat="1" hidden="1" outlineLevel="1" x14ac:dyDescent="0.25">
      <c r="A52" s="35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79.34</v>
      </c>
      <c r="N52" s="2">
        <v>135</v>
      </c>
      <c r="O52" s="2">
        <v>0</v>
      </c>
      <c r="P52" s="9"/>
      <c r="Q52" s="2">
        <f>SUM(OSRRefD21_4_0x)+IFERROR(SUM(OSRRefE21_4_0x),0)</f>
        <v>481.34000000000003</v>
      </c>
    </row>
    <row r="53" spans="1:17" s="34" customFormat="1" collapsed="1" x14ac:dyDescent="0.25">
      <c r="A53" s="35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SUM(OSRRefD21_5x_9)</f>
        <v>272.74</v>
      </c>
      <c r="N53" s="1">
        <f>SUM(OSRRefE21_5x_0)</f>
        <v>0</v>
      </c>
      <c r="O53" s="1">
        <f>SUM(OSRRefE21_5x_1)</f>
        <v>0</v>
      </c>
      <c r="Q53" s="2">
        <f>SUM(OSRRefD20_5x)+IFERROR(SUM(OSRRefE20_5x),0)</f>
        <v>2463.1800000000003</v>
      </c>
    </row>
    <row r="54" spans="1:17" s="34" customFormat="1" hidden="1" outlineLevel="1" x14ac:dyDescent="0.25">
      <c r="A54" s="35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>
        <v>272.74</v>
      </c>
      <c r="N54" s="2"/>
      <c r="O54" s="2"/>
      <c r="P54" s="9"/>
      <c r="Q54" s="2">
        <f>SUM(OSRRefD21_5_0x)+IFERROR(SUM(OSRRefE21_5_0x),0)</f>
        <v>2463.1800000000003</v>
      </c>
    </row>
    <row r="55" spans="1:17" s="34" customFormat="1" collapsed="1" x14ac:dyDescent="0.25">
      <c r="A55" s="35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SUM(OSRRefD21_6x_9)</f>
        <v>7325.88</v>
      </c>
      <c r="N55" s="1">
        <f>SUM(OSRRefE21_6x_0)</f>
        <v>3100</v>
      </c>
      <c r="O55" s="1">
        <f>SUM(OSRRefE21_6x_1)</f>
        <v>0</v>
      </c>
      <c r="Q55" s="2">
        <f>SUM(OSRRefD20_6x)+IFERROR(SUM(OSRRefE20_6x),0)</f>
        <v>61405.64</v>
      </c>
    </row>
    <row r="56" spans="1:17" s="34" customFormat="1" hidden="1" outlineLevel="1" x14ac:dyDescent="0.25">
      <c r="A56" s="35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7325.88</v>
      </c>
      <c r="N56" s="2">
        <v>3100</v>
      </c>
      <c r="O56" s="2"/>
      <c r="P56" s="9"/>
      <c r="Q56" s="2">
        <f>SUM(OSRRefD21_6_0x)+IFERROR(SUM(OSRRefE21_6_0x),0)</f>
        <v>61405.64</v>
      </c>
    </row>
    <row r="57" spans="1:17" s="34" customFormat="1" collapsed="1" x14ac:dyDescent="0.25">
      <c r="A57" s="35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SUM(OSRRefD21_7x_9)</f>
        <v>0</v>
      </c>
      <c r="N57" s="1">
        <f>SUM(OSRRefE21_7x_0)</f>
        <v>150</v>
      </c>
      <c r="O57" s="1">
        <f>SUM(OSRRefE21_7x_1)</f>
        <v>0</v>
      </c>
      <c r="Q57" s="2">
        <f>SUM(OSRRefD20_7x)+IFERROR(SUM(OSRRefE20_7x),0)</f>
        <v>150</v>
      </c>
    </row>
    <row r="58" spans="1:17" s="34" customFormat="1" hidden="1" outlineLevel="1" x14ac:dyDescent="0.25">
      <c r="A58" s="35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150</v>
      </c>
      <c r="O58" s="2">
        <v>0</v>
      </c>
      <c r="P58" s="9"/>
      <c r="Q58" s="2">
        <f>SUM(OSRRefD21_7_0x)+IFERROR(SUM(OSRRefE21_7_0x),0)</f>
        <v>150</v>
      </c>
    </row>
    <row r="59" spans="1:17" s="34" customFormat="1" collapsed="1" x14ac:dyDescent="0.25">
      <c r="A59" s="35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SUM(OSRRefD21_8x_6)</f>
        <v>245.6</v>
      </c>
      <c r="K59" s="1">
        <f>SUM(OSRRefD21_8x_7)</f>
        <v>336.86</v>
      </c>
      <c r="L59" s="1">
        <f>SUM(OSRRefD21_8x_8)</f>
        <v>508.47</v>
      </c>
      <c r="M59" s="1">
        <f>SUM(OSRRefD21_8x_9)</f>
        <v>559.04</v>
      </c>
      <c r="N59" s="1">
        <f>SUM(OSRRefE21_8x_0)</f>
        <v>290</v>
      </c>
      <c r="O59" s="1">
        <f>SUM(OSRRefE21_8x_1)</f>
        <v>290</v>
      </c>
      <c r="Q59" s="2">
        <f>SUM(OSRRefD20_8x)+IFERROR(SUM(OSRRefE20_8x),0)</f>
        <v>3750.83</v>
      </c>
    </row>
    <row r="60" spans="1:17" s="34" customFormat="1" hidden="1" outlineLevel="1" x14ac:dyDescent="0.25">
      <c r="A60" s="35"/>
      <c r="B60" s="10" t="str">
        <f>CONCATENATE("          ","6351", " - ","EQUIPMENT RENTAL")</f>
        <v xml:space="preserve">          6351 - EQUIPMENT RENTAL</v>
      </c>
      <c r="C60" s="11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245.6</v>
      </c>
      <c r="K60" s="2">
        <v>336.86</v>
      </c>
      <c r="L60" s="2">
        <v>508.47</v>
      </c>
      <c r="M60" s="2">
        <v>559.04</v>
      </c>
      <c r="N60" s="2">
        <v>290</v>
      </c>
      <c r="O60" s="2">
        <v>290</v>
      </c>
      <c r="P60" s="9"/>
      <c r="Q60" s="2">
        <f>SUM(OSRRefD21_8_0x)+IFERROR(SUM(OSRRefE21_8_0x),0)</f>
        <v>3750.83</v>
      </c>
    </row>
    <row r="61" spans="1:17" s="34" customFormat="1" collapsed="1" x14ac:dyDescent="0.25">
      <c r="A61" s="35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SUM(OSRRefD21_9x_6)</f>
        <v>0</v>
      </c>
      <c r="K61" s="1">
        <f>SUM(OSRRefD21_9x_7)</f>
        <v>0</v>
      </c>
      <c r="L61" s="1">
        <f>SUM(OSRRefD21_9x_8)</f>
        <v>0</v>
      </c>
      <c r="M61" s="1">
        <f>SUM(OSRRefD21_9x_9)</f>
        <v>0</v>
      </c>
      <c r="N61" s="1">
        <f>SUM(OSRRefE21_9x_0)</f>
        <v>270</v>
      </c>
      <c r="O61" s="1">
        <f>SUM(OSRRefE21_9x_1)</f>
        <v>270</v>
      </c>
      <c r="Q61" s="2">
        <f>SUM(OSRRefD20_9x)+IFERROR(SUM(OSRRefE20_9x),0)</f>
        <v>2428.7799999999997</v>
      </c>
    </row>
    <row r="62" spans="1:17" s="34" customFormat="1" hidden="1" outlineLevel="1" x14ac:dyDescent="0.25">
      <c r="A62" s="35"/>
      <c r="B62" s="10" t="str">
        <f>CONCATENATE("          ","6279", " - ","GENERAL EXPENSE")</f>
        <v xml:space="preserve">          6279 - GENERAL EXPENSE</v>
      </c>
      <c r="C62" s="11"/>
      <c r="D62" s="2">
        <v>1439.55</v>
      </c>
      <c r="E62" s="2"/>
      <c r="F62" s="2"/>
      <c r="G62" s="2"/>
      <c r="H62" s="2"/>
      <c r="I62" s="2">
        <v>449.23</v>
      </c>
      <c r="J62" s="2"/>
      <c r="K62" s="2"/>
      <c r="L62" s="2"/>
      <c r="M62" s="2"/>
      <c r="N62" s="2">
        <v>270</v>
      </c>
      <c r="O62" s="2">
        <v>270</v>
      </c>
      <c r="P62" s="9"/>
      <c r="Q62" s="2">
        <f>SUM(OSRRefD21_9_0x)+IFERROR(SUM(OSRRefE21_9_0x),0)</f>
        <v>2428.7799999999997</v>
      </c>
    </row>
    <row r="63" spans="1:17" s="34" customFormat="1" collapsed="1" x14ac:dyDescent="0.25">
      <c r="A63" s="35"/>
      <c r="B63" s="11" t="str">
        <f>CONCATENATE("     ","R/H Commissions                                   ")</f>
        <v xml:space="preserve">     R/H Commissions                                   </v>
      </c>
      <c r="C63" s="11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</v>
      </c>
      <c r="J63" s="1">
        <f>SUM(OSRRefD21_10x_6)</f>
        <v>-29090.31</v>
      </c>
      <c r="K63" s="1">
        <f>SUM(OSRRefD21_10x_7)</f>
        <v>6342.49</v>
      </c>
      <c r="L63" s="1">
        <f>SUM(OSRRefD21_10x_8)</f>
        <v>6756.75</v>
      </c>
      <c r="M63" s="1">
        <f>SUM(OSRRefD21_10x_9)</f>
        <v>6627.19</v>
      </c>
      <c r="N63" s="1">
        <f>SUM(OSRRefE21_10x_0)</f>
        <v>6587</v>
      </c>
      <c r="O63" s="1">
        <f>SUM(OSRRefE21_10x_1)</f>
        <v>0</v>
      </c>
      <c r="Q63" s="2">
        <f>SUM(OSRRefD20_10x)+IFERROR(SUM(OSRRefE20_10x),0)</f>
        <v>70327.44</v>
      </c>
    </row>
    <row r="64" spans="1:17" s="34" customFormat="1" hidden="1" outlineLevel="1" x14ac:dyDescent="0.25">
      <c r="A64" s="35"/>
      <c r="B64" s="10" t="str">
        <f>CONCATENATE("          ","6387", " - ","COMMISSION DUE HOUSING")</f>
        <v xml:space="preserve">          6387 - COMMISSION DUE HOUSING</v>
      </c>
      <c r="C64" s="11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</v>
      </c>
      <c r="J64" s="2">
        <v>-29090.31</v>
      </c>
      <c r="K64" s="2">
        <v>6342.49</v>
      </c>
      <c r="L64" s="2">
        <v>6756.75</v>
      </c>
      <c r="M64" s="2">
        <v>6627.19</v>
      </c>
      <c r="N64" s="2">
        <v>6587</v>
      </c>
      <c r="O64" s="2">
        <v>0</v>
      </c>
      <c r="P64" s="9"/>
      <c r="Q64" s="2">
        <f>SUM(OSRRefD21_10_0x)+IFERROR(SUM(OSRRefE21_10_0x),0)</f>
        <v>70327.44</v>
      </c>
    </row>
    <row r="65" spans="1:17" s="34" customFormat="1" collapsed="1" x14ac:dyDescent="0.25">
      <c r="A65" s="35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SUM(OSRRefD21_11x_6)</f>
        <v>5.94</v>
      </c>
      <c r="K65" s="1">
        <f>SUM(OSRRefD21_11x_7)</f>
        <v>87.740000000000009</v>
      </c>
      <c r="L65" s="1">
        <f>SUM(OSRRefD21_11x_8)</f>
        <v>84.9</v>
      </c>
      <c r="M65" s="1">
        <f>SUM(OSRRefD21_11x_9)</f>
        <v>60.89</v>
      </c>
      <c r="N65" s="1">
        <f>SUM(OSRRefE21_11x_0)</f>
        <v>288</v>
      </c>
      <c r="O65" s="1">
        <f>SUM(OSRRefE21_11x_1)</f>
        <v>288</v>
      </c>
      <c r="Q65" s="2">
        <f>SUM(OSRRefD20_11x)+IFERROR(SUM(OSRRefE20_11x),0)</f>
        <v>4075.74</v>
      </c>
    </row>
    <row r="66" spans="1:17" s="34" customFormat="1" hidden="1" outlineLevel="1" x14ac:dyDescent="0.25">
      <c r="A66" s="35"/>
      <c r="B66" s="10" t="str">
        <f>CONCATENATE("          ","6373", " - ","MAINTENANCE CONTRACTS")</f>
        <v xml:space="preserve">          6373 - MAINTENANCE CONTRACTS</v>
      </c>
      <c r="C66" s="11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5.94</v>
      </c>
      <c r="K66" s="2">
        <v>9.5399999999999991</v>
      </c>
      <c r="L66" s="2">
        <v>84.9</v>
      </c>
      <c r="M66" s="2">
        <v>12.34</v>
      </c>
      <c r="N66" s="2">
        <v>38</v>
      </c>
      <c r="O66" s="2">
        <v>38</v>
      </c>
      <c r="P66" s="9"/>
      <c r="Q66" s="2">
        <f>SUM(OSRRefD21_11_0x)+IFERROR(SUM(OSRRefE21_11_0x),0)</f>
        <v>1772.17</v>
      </c>
    </row>
    <row r="67" spans="1:17" s="34" customFormat="1" hidden="1" outlineLevel="1" x14ac:dyDescent="0.25">
      <c r="A67" s="35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>
        <v>205</v>
      </c>
      <c r="G67" s="2">
        <v>396.62</v>
      </c>
      <c r="H67" s="2">
        <v>1075.2</v>
      </c>
      <c r="I67" s="2"/>
      <c r="J67" s="2"/>
      <c r="K67" s="2">
        <v>78.2</v>
      </c>
      <c r="L67" s="2"/>
      <c r="M67" s="2">
        <v>48.55</v>
      </c>
      <c r="N67" s="2">
        <v>250</v>
      </c>
      <c r="O67" s="2">
        <v>250</v>
      </c>
      <c r="P67" s="9"/>
      <c r="Q67" s="2">
        <f>SUM(OSRRefD21_11_1x)+IFERROR(SUM(OSRRefE21_11_1x),0)</f>
        <v>2303.5700000000002</v>
      </c>
    </row>
    <row r="68" spans="1:17" s="34" customFormat="1" collapsed="1" x14ac:dyDescent="0.25">
      <c r="A68" s="35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SUM(OSRRefD21_12x_6)</f>
        <v>5443.74</v>
      </c>
      <c r="K68" s="1">
        <f>SUM(OSRRefD21_12x_7)</f>
        <v>5542.82</v>
      </c>
      <c r="L68" s="1">
        <f>SUM(OSRRefD21_12x_8)</f>
        <v>8494.9599999999991</v>
      </c>
      <c r="M68" s="1">
        <f>SUM(OSRRefD21_12x_9)</f>
        <v>6649.1900000000005</v>
      </c>
      <c r="N68" s="1">
        <f>SUM(OSRRefE21_12x_0)</f>
        <v>6521</v>
      </c>
      <c r="O68" s="1">
        <f>SUM(OSRRefE21_12x_1)</f>
        <v>6521</v>
      </c>
      <c r="Q68" s="2">
        <f>SUM(OSRRefD20_12x)+IFERROR(SUM(OSRRefE20_12x),0)</f>
        <v>66440.790000000008</v>
      </c>
    </row>
    <row r="69" spans="1:17" s="34" customFormat="1" hidden="1" outlineLevel="1" x14ac:dyDescent="0.25">
      <c r="A69" s="35"/>
      <c r="B69" s="10" t="str">
        <f>CONCATENATE("          ","6282", " - ","JANITORIAL/EXTERMINATOR EXPENS")</f>
        <v xml:space="preserve">          6282 - JANITORIAL/EXTERMINATOR EXPENS</v>
      </c>
      <c r="C69" s="11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421.34</v>
      </c>
      <c r="K69" s="2">
        <v>421.34</v>
      </c>
      <c r="L69" s="2">
        <v>421.34</v>
      </c>
      <c r="M69" s="2">
        <v>842.68</v>
      </c>
      <c r="N69" s="2">
        <v>450</v>
      </c>
      <c r="O69" s="2">
        <v>450</v>
      </c>
      <c r="P69" s="9"/>
      <c r="Q69" s="2">
        <f>SUM(OSRRefD21_12_0x)+IFERROR(SUM(OSRRefE21_12_0x),0)</f>
        <v>4981.4400000000005</v>
      </c>
    </row>
    <row r="70" spans="1:17" s="34" customFormat="1" hidden="1" outlineLevel="1" x14ac:dyDescent="0.25">
      <c r="A70" s="35"/>
      <c r="B70" s="10" t="str">
        <f>CONCATENATE("          ","6284", " - ","TRASH REMOVAL EXPENSE")</f>
        <v xml:space="preserve">          6284 - TRASH REMOVAL EXPENSE</v>
      </c>
      <c r="C70" s="11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4" customFormat="1" hidden="1" outlineLevel="1" x14ac:dyDescent="0.25">
      <c r="A71" s="35"/>
      <c r="B71" s="10" t="str">
        <f>CONCATENATE("          ","6285", " - ","JANITORIAL SERVICES")</f>
        <v xml:space="preserve">          6285 - JANITORIAL SERVICES</v>
      </c>
      <c r="C71" s="11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4468.33</v>
      </c>
      <c r="K71" s="2">
        <v>4468.33</v>
      </c>
      <c r="L71" s="2">
        <v>7547.32</v>
      </c>
      <c r="M71" s="2">
        <v>4468.33</v>
      </c>
      <c r="N71" s="2">
        <v>4571</v>
      </c>
      <c r="O71" s="2">
        <v>4571</v>
      </c>
      <c r="P71" s="9"/>
      <c r="Q71" s="2">
        <f>SUM(OSRRefD21_12_2x)+IFERROR(SUM(OSRRefE21_12_2x),0)</f>
        <v>50296.94</v>
      </c>
    </row>
    <row r="72" spans="1:17" s="34" customFormat="1" hidden="1" outlineLevel="1" x14ac:dyDescent="0.25">
      <c r="A72" s="35"/>
      <c r="B72" s="10" t="str">
        <f>CONCATENATE("          ","6286", " - ","LAUNDRY EXPENSE")</f>
        <v xml:space="preserve">          6286 - LAUNDRY EXPENSE</v>
      </c>
      <c r="C72" s="11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554.07000000000005</v>
      </c>
      <c r="K72" s="2">
        <v>653.15</v>
      </c>
      <c r="L72" s="2">
        <v>526.29999999999995</v>
      </c>
      <c r="M72" s="2">
        <v>1338.18</v>
      </c>
      <c r="N72" s="2">
        <v>1500</v>
      </c>
      <c r="O72" s="2">
        <v>1500</v>
      </c>
      <c r="P72" s="9"/>
      <c r="Q72" s="2">
        <f>SUM(OSRRefD21_12_3x)+IFERROR(SUM(OSRRefE21_12_3x),0)</f>
        <v>10879.66</v>
      </c>
    </row>
    <row r="73" spans="1:17" s="34" customFormat="1" collapsed="1" x14ac:dyDescent="0.25">
      <c r="A73" s="35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SUM(OSRRefE21_13x_0)</f>
        <v>0</v>
      </c>
      <c r="O73" s="1">
        <f>SUM(OSRRefE21_13x_1)</f>
        <v>0</v>
      </c>
      <c r="Q73" s="2">
        <f>SUM(OSRRefD20_13x)+IFERROR(SUM(OSRRefE20_13x),0)</f>
        <v>795</v>
      </c>
    </row>
    <row r="74" spans="1:17" s="34" customFormat="1" hidden="1" outlineLevel="1" x14ac:dyDescent="0.25">
      <c r="A74" s="35"/>
      <c r="B74" s="10" t="str">
        <f>CONCATENATE("          ","6258", " - ","MEMBERSHIP DUES")</f>
        <v xml:space="preserve">          6258 - MEMBERSHIP DUES</v>
      </c>
      <c r="C74" s="11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4" customFormat="1" collapsed="1" x14ac:dyDescent="0.25">
      <c r="A75" s="35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SUM(OSRRefD21_14x_6)</f>
        <v>9954.59</v>
      </c>
      <c r="K75" s="1">
        <f>SUM(OSRRefD21_14x_7)</f>
        <v>12072.349999999999</v>
      </c>
      <c r="L75" s="1">
        <f>SUM(OSRRefD21_14x_8)</f>
        <v>7449.67</v>
      </c>
      <c r="M75" s="1">
        <f>SUM(OSRRefD21_14x_9)</f>
        <v>13276.58</v>
      </c>
      <c r="N75" s="1">
        <f>SUM(OSRRefE21_14x_0)</f>
        <v>8018</v>
      </c>
      <c r="O75" s="1">
        <f>SUM(OSRRefE21_14x_1)</f>
        <v>2000</v>
      </c>
      <c r="Q75" s="2">
        <f>SUM(OSRRefD20_14x)+IFERROR(SUM(OSRRefE20_14x),0)</f>
        <v>128193.93</v>
      </c>
    </row>
    <row r="76" spans="1:17" s="34" customFormat="1" hidden="1" outlineLevel="1" x14ac:dyDescent="0.25">
      <c r="A76" s="35"/>
      <c r="B76" s="10" t="str">
        <f>CONCATENATE("          ","6235", " - ","COVID-19 EXPENSES")</f>
        <v xml:space="preserve">          6235 - COVID-19 EXPENSES</v>
      </c>
      <c r="C76" s="11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2921.2</v>
      </c>
      <c r="K76" s="2">
        <v>2921.2</v>
      </c>
      <c r="L76" s="2"/>
      <c r="M76" s="2">
        <v>2921.2</v>
      </c>
      <c r="N76" s="2">
        <v>4000</v>
      </c>
      <c r="O76" s="2">
        <v>2000</v>
      </c>
      <c r="P76" s="9"/>
      <c r="Q76" s="2">
        <f>SUM(OSRRefD21_14_0x)+IFERROR(SUM(OSRRefE21_14_0x),0)</f>
        <v>56176.469999999987</v>
      </c>
    </row>
    <row r="77" spans="1:17" s="34" customFormat="1" hidden="1" outlineLevel="1" x14ac:dyDescent="0.25">
      <c r="A77" s="35"/>
      <c r="B77" s="10" t="str">
        <f>CONCATENATE("          ","6237", " - ","JANITORIAL SUPPLIES")</f>
        <v xml:space="preserve">          6237 - JANITORIAL SUPPLIES</v>
      </c>
      <c r="C77" s="11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3367.71</v>
      </c>
      <c r="K77" s="2">
        <v>648.99</v>
      </c>
      <c r="L77" s="2">
        <v>1954.49</v>
      </c>
      <c r="M77" s="2">
        <v>1902.43</v>
      </c>
      <c r="N77" s="2">
        <v>3000</v>
      </c>
      <c r="O77" s="2">
        <v>0</v>
      </c>
      <c r="P77" s="9"/>
      <c r="Q77" s="2">
        <f>SUM(OSRRefD21_14_1x)+IFERROR(SUM(OSRRefE21_14_1x),0)</f>
        <v>20051.79</v>
      </c>
    </row>
    <row r="78" spans="1:17" s="34" customFormat="1" hidden="1" outlineLevel="1" x14ac:dyDescent="0.25">
      <c r="A78" s="35"/>
      <c r="B78" s="10" t="str">
        <f>CONCATENATE("          ","6239", " - ","KITCHEN SUPPLIES")</f>
        <v xml:space="preserve">          6239 - KITCHEN SUPPLIES</v>
      </c>
      <c r="C78" s="11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979.48</v>
      </c>
      <c r="K78" s="2">
        <v>253.3</v>
      </c>
      <c r="L78" s="2">
        <v>39.75</v>
      </c>
      <c r="M78" s="2">
        <v>160.30000000000001</v>
      </c>
      <c r="N78" s="2">
        <v>500</v>
      </c>
      <c r="O78" s="2">
        <v>0</v>
      </c>
      <c r="P78" s="9"/>
      <c r="Q78" s="2">
        <f>SUM(OSRRefD21_14_2x)+IFERROR(SUM(OSRRefE21_14_2x),0)</f>
        <v>6716.3099999999995</v>
      </c>
    </row>
    <row r="79" spans="1:17" s="34" customFormat="1" hidden="1" outlineLevel="1" x14ac:dyDescent="0.25">
      <c r="A79" s="35"/>
      <c r="B79" s="10" t="str">
        <f>CONCATENATE("          ","6241", " - ","OFFICE EXPENSE")</f>
        <v xml:space="preserve">          6241 - OFFICE EXPENSE</v>
      </c>
      <c r="C79" s="11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979.61</v>
      </c>
      <c r="K79" s="2">
        <v>1048.1199999999999</v>
      </c>
      <c r="L79" s="2">
        <v>1367.37</v>
      </c>
      <c r="M79" s="2">
        <v>1258.28</v>
      </c>
      <c r="N79" s="2">
        <v>150</v>
      </c>
      <c r="O79" s="2">
        <v>0</v>
      </c>
      <c r="P79" s="9"/>
      <c r="Q79" s="2">
        <f>SUM(OSRRefD21_14_3x)+IFERROR(SUM(OSRRefE21_14_3x),0)</f>
        <v>8014.4</v>
      </c>
    </row>
    <row r="80" spans="1:17" s="34" customFormat="1" hidden="1" outlineLevel="1" x14ac:dyDescent="0.25">
      <c r="A80" s="35"/>
      <c r="B80" s="10" t="str">
        <f>CONCATENATE("          ","6243", " - ","PAPER SUPPLIES")</f>
        <v xml:space="preserve">          6243 - PAPER SUPPLIES</v>
      </c>
      <c r="C80" s="11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>
        <v>1706.59</v>
      </c>
      <c r="K80" s="2">
        <v>7200.74</v>
      </c>
      <c r="L80" s="2">
        <v>4088.06</v>
      </c>
      <c r="M80" s="2">
        <v>7034.37</v>
      </c>
      <c r="N80" s="2"/>
      <c r="O80" s="2"/>
      <c r="P80" s="9"/>
      <c r="Q80" s="2">
        <f>SUM(OSRRefD21_14_4x)+IFERROR(SUM(OSRRefE21_14_4x),0)</f>
        <v>32366.37</v>
      </c>
    </row>
    <row r="81" spans="1:17" s="34" customFormat="1" hidden="1" outlineLevel="1" x14ac:dyDescent="0.25">
      <c r="A81" s="35"/>
      <c r="B81" s="10" t="str">
        <f>CONCATENATE("          ","6244", " - ","SAFETY SUPPLY EXPENSE")</f>
        <v xml:space="preserve">          6244 - SAFETY SUPPLY EXPENSE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>
        <v>0</v>
      </c>
      <c r="O81" s="2"/>
      <c r="P81" s="9"/>
      <c r="Q81" s="2">
        <f>SUM(OSRRefD21_14_5x)+IFERROR(SUM(OSRRefE21_14_5x),0)</f>
        <v>0</v>
      </c>
    </row>
    <row r="82" spans="1:17" s="34" customFormat="1" hidden="1" outlineLevel="1" x14ac:dyDescent="0.25">
      <c r="A82" s="35"/>
      <c r="B82" s="10" t="str">
        <f>CONCATENATE("          ","6247", " - ","STORE SUPPLIES")</f>
        <v xml:space="preserve">          6247 - STORE SUPPLIES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>
        <v>18</v>
      </c>
      <c r="O82" s="2">
        <v>0</v>
      </c>
      <c r="P82" s="9"/>
      <c r="Q82" s="2">
        <f>SUM(OSRRefD21_14_6x)+IFERROR(SUM(OSRRefE21_14_6x),0)</f>
        <v>18</v>
      </c>
    </row>
    <row r="83" spans="1:17" s="34" customFormat="1" hidden="1" outlineLevel="1" x14ac:dyDescent="0.25">
      <c r="A83" s="35"/>
      <c r="B83" s="10" t="str">
        <f>CONCATENATE("          ","6248", " - ","UNIFORMS")</f>
        <v xml:space="preserve">          6248 - UNIFORMS</v>
      </c>
      <c r="C83" s="11"/>
      <c r="D83" s="2"/>
      <c r="E83" s="2">
        <v>3510.98</v>
      </c>
      <c r="F83" s="2">
        <v>303.7</v>
      </c>
      <c r="G83" s="2"/>
      <c r="H83" s="2">
        <v>685.91</v>
      </c>
      <c r="I83" s="2"/>
      <c r="J83" s="2"/>
      <c r="K83" s="2"/>
      <c r="L83" s="2"/>
      <c r="M83" s="2"/>
      <c r="N83" s="2">
        <v>350</v>
      </c>
      <c r="O83" s="2">
        <v>0</v>
      </c>
      <c r="P83" s="9"/>
      <c r="Q83" s="2">
        <f>SUM(OSRRefD21_14_7x)+IFERROR(SUM(OSRRefE21_14_7x),0)</f>
        <v>4850.59</v>
      </c>
    </row>
    <row r="84" spans="1:17" s="34" customFormat="1" collapsed="1" x14ac:dyDescent="0.25">
      <c r="A84" s="35"/>
      <c r="B84" s="11" t="str">
        <f>CONCATENATE("     ","Telephone/Data Lines                              ")</f>
        <v xml:space="preserve">     Telephone/Data Lines                              </v>
      </c>
      <c r="C84" s="11"/>
      <c r="D84" s="1">
        <f>SUM(OSRRefD21_15x_0)</f>
        <v>259</v>
      </c>
      <c r="E84" s="1">
        <f>SUM(OSRRefD21_15x_1)</f>
        <v>259</v>
      </c>
      <c r="F84" s="1">
        <f>SUM(OSRRefD21_15x_2)</f>
        <v>410</v>
      </c>
      <c r="G84" s="1">
        <f>SUM(OSRRefD21_15x_3)</f>
        <v>259</v>
      </c>
      <c r="H84" s="1">
        <f>SUM(OSRRefD21_15x_4)</f>
        <v>259</v>
      </c>
      <c r="I84" s="1">
        <f>SUM(OSRRefD21_15x_5)</f>
        <v>259</v>
      </c>
      <c r="J84" s="1">
        <f>SUM(OSRRefD21_15x_6)</f>
        <v>159</v>
      </c>
      <c r="K84" s="1">
        <f>SUM(OSRRefD21_15x_7)</f>
        <v>159</v>
      </c>
      <c r="L84" s="1">
        <f>SUM(OSRRefD21_15x_8)</f>
        <v>159</v>
      </c>
      <c r="M84" s="1">
        <f>SUM(OSRRefD21_15x_9)</f>
        <v>159</v>
      </c>
      <c r="N84" s="1">
        <f>SUM(OSRRefE21_15x_0)</f>
        <v>310</v>
      </c>
      <c r="O84" s="1">
        <f>SUM(OSRRefE21_15x_1)</f>
        <v>310</v>
      </c>
      <c r="Q84" s="2">
        <f>SUM(OSRRefD20_15x)+IFERROR(SUM(OSRRefE20_15x),0)</f>
        <v>2961</v>
      </c>
    </row>
    <row r="85" spans="1:17" s="34" customFormat="1" hidden="1" outlineLevel="1" x14ac:dyDescent="0.25">
      <c r="A85" s="35"/>
      <c r="B85" s="10" t="str">
        <f>CONCATENATE("          ","6303", " - ","DATA PHONE LINES")</f>
        <v xml:space="preserve">          6303 - DATA PHONE LINES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>
        <v>310</v>
      </c>
      <c r="O85" s="2">
        <v>310</v>
      </c>
      <c r="P85" s="9"/>
      <c r="Q85" s="2">
        <f>SUM(OSRRefD21_15_0x)+IFERROR(SUM(OSRRefE21_15_0x),0)</f>
        <v>620</v>
      </c>
    </row>
    <row r="86" spans="1:17" s="34" customFormat="1" hidden="1" outlineLevel="1" x14ac:dyDescent="0.25">
      <c r="A86" s="35"/>
      <c r="B86" s="10" t="str">
        <f>CONCATENATE("          ","6309", " - ","TELEPHONE")</f>
        <v xml:space="preserve">          6309 - TELEPHONE</v>
      </c>
      <c r="C86" s="11"/>
      <c r="D86" s="2">
        <v>259</v>
      </c>
      <c r="E86" s="2">
        <v>259</v>
      </c>
      <c r="F86" s="2">
        <v>410</v>
      </c>
      <c r="G86" s="2">
        <v>259</v>
      </c>
      <c r="H86" s="2">
        <v>259</v>
      </c>
      <c r="I86" s="2">
        <v>259</v>
      </c>
      <c r="J86" s="2">
        <v>159</v>
      </c>
      <c r="K86" s="2">
        <v>159</v>
      </c>
      <c r="L86" s="2">
        <v>159</v>
      </c>
      <c r="M86" s="2">
        <v>159</v>
      </c>
      <c r="N86" s="2"/>
      <c r="O86" s="2"/>
      <c r="P86" s="9"/>
      <c r="Q86" s="2">
        <f>SUM(OSRRefD21_15_1x)+IFERROR(SUM(OSRRefE21_15_1x),0)</f>
        <v>2341</v>
      </c>
    </row>
    <row r="87" spans="1:17" s="34" customFormat="1" collapsed="1" x14ac:dyDescent="0.25">
      <c r="A87" s="35"/>
      <c r="B87" s="11" t="str">
        <f>CONCATENATE("     ","Training                                          ")</f>
        <v xml:space="preserve">     Training                                          </v>
      </c>
      <c r="C87" s="11"/>
      <c r="D87" s="1">
        <f>SUM(OSRRefD21_16x_0)</f>
        <v>0</v>
      </c>
      <c r="E87" s="1">
        <f>SUM(OSRRefD21_16x_1)</f>
        <v>350</v>
      </c>
      <c r="F87" s="1">
        <f>SUM(OSRRefD21_16x_2)</f>
        <v>0</v>
      </c>
      <c r="G87" s="1">
        <f>SUM(OSRRefD21_16x_3)</f>
        <v>385</v>
      </c>
      <c r="H87" s="1">
        <f>SUM(OSRRefD21_16x_4)</f>
        <v>0</v>
      </c>
      <c r="I87" s="1">
        <f>SUM(OSRRefD21_16x_5)</f>
        <v>0</v>
      </c>
      <c r="J87" s="1">
        <f>SUM(OSRRefD21_16x_6)</f>
        <v>0</v>
      </c>
      <c r="K87" s="1">
        <f>SUM(OSRRefD21_16x_7)</f>
        <v>0</v>
      </c>
      <c r="L87" s="1">
        <f>SUM(OSRRefD21_16x_8)</f>
        <v>0</v>
      </c>
      <c r="M87" s="1">
        <f>SUM(OSRRefD21_16x_9)</f>
        <v>0</v>
      </c>
      <c r="N87" s="1">
        <f>SUM(OSRRefE21_16x_0)</f>
        <v>350</v>
      </c>
      <c r="O87" s="1">
        <f>SUM(OSRRefE21_16x_1)</f>
        <v>350</v>
      </c>
      <c r="Q87" s="2">
        <f>SUM(OSRRefD20_16x)+IFERROR(SUM(OSRRefE20_16x),0)</f>
        <v>1435</v>
      </c>
    </row>
    <row r="88" spans="1:17" s="34" customFormat="1" hidden="1" outlineLevel="1" x14ac:dyDescent="0.25">
      <c r="A88" s="35"/>
      <c r="B88" s="10" t="str">
        <f>CONCATENATE("          ","6376", " - ","TRAINING")</f>
        <v xml:space="preserve">          6376 - TRAINING</v>
      </c>
      <c r="C88" s="11"/>
      <c r="D88" s="2"/>
      <c r="E88" s="2">
        <v>350</v>
      </c>
      <c r="F88" s="2"/>
      <c r="G88" s="2">
        <v>385</v>
      </c>
      <c r="H88" s="2"/>
      <c r="I88" s="2"/>
      <c r="J88" s="2"/>
      <c r="K88" s="2"/>
      <c r="L88" s="2"/>
      <c r="M88" s="2"/>
      <c r="N88" s="2">
        <v>350</v>
      </c>
      <c r="O88" s="2">
        <v>350</v>
      </c>
      <c r="P88" s="9"/>
      <c r="Q88" s="2">
        <f>SUM(OSRRefD21_16_0x)+IFERROR(SUM(OSRRefE21_16_0x),0)</f>
        <v>1435</v>
      </c>
    </row>
    <row r="89" spans="1:17" s="34" customFormat="1" collapsed="1" x14ac:dyDescent="0.25">
      <c r="A89" s="35"/>
      <c r="B89" s="11" t="str">
        <f>CONCATENATE("     ","Travel                                            ")</f>
        <v xml:space="preserve">     Travel                                            </v>
      </c>
      <c r="C89" s="11"/>
      <c r="D89" s="1">
        <f>SUM(OSRRefD21_17x_0)</f>
        <v>0</v>
      </c>
      <c r="E89" s="1">
        <f>SUM(OSRRefD21_17x_1)</f>
        <v>0</v>
      </c>
      <c r="F89" s="1">
        <f>SUM(OSRRefD21_17x_2)</f>
        <v>0</v>
      </c>
      <c r="G89" s="1">
        <f>SUM(OSRRefD21_17x_3)</f>
        <v>0</v>
      </c>
      <c r="H89" s="1">
        <f>SUM(OSRRefD21_17x_4)</f>
        <v>0</v>
      </c>
      <c r="I89" s="1">
        <f>SUM(OSRRefD21_17x_5)</f>
        <v>0</v>
      </c>
      <c r="J89" s="1">
        <f>SUM(OSRRefD21_17x_6)</f>
        <v>0</v>
      </c>
      <c r="K89" s="1">
        <f>SUM(OSRRefD21_17x_7)</f>
        <v>0</v>
      </c>
      <c r="L89" s="1">
        <f>SUM(OSRRefD21_17x_8)</f>
        <v>0</v>
      </c>
      <c r="M89" s="1">
        <f>SUM(OSRRefD21_17x_9)</f>
        <v>160.30000000000001</v>
      </c>
      <c r="N89" s="1">
        <f>SUM(OSRRefE21_17x_0)</f>
        <v>0</v>
      </c>
      <c r="O89" s="1">
        <f>SUM(OSRRefE21_17x_1)</f>
        <v>0</v>
      </c>
      <c r="Q89" s="2">
        <f>SUM(OSRRefD20_17x)+IFERROR(SUM(OSRRefE20_17x),0)</f>
        <v>160.30000000000001</v>
      </c>
    </row>
    <row r="90" spans="1:17" s="34" customFormat="1" hidden="1" outlineLevel="1" x14ac:dyDescent="0.25">
      <c r="A90" s="35"/>
      <c r="B90" s="10" t="str">
        <f>CONCATENATE("          ","6294", " - ","TRAVEL OPERATIONAL")</f>
        <v xml:space="preserve">          6294 - TRAVEL OPERATIONAL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>
        <v>160.30000000000001</v>
      </c>
      <c r="N90" s="2"/>
      <c r="O90" s="2"/>
      <c r="P90" s="9"/>
      <c r="Q90" s="2">
        <f>SUM(OSRRefD21_17_0x)+IFERROR(SUM(OSRRefE21_17_0x),0)</f>
        <v>160.30000000000001</v>
      </c>
    </row>
    <row r="91" spans="1:17" s="30" customFormat="1" x14ac:dyDescent="0.25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25">
      <c r="A92" s="23"/>
      <c r="B92" s="16" t="s">
        <v>291</v>
      </c>
      <c r="C92" s="22"/>
      <c r="D92" s="3">
        <f t="shared" ref="D92:M92" si="6">0</f>
        <v>0</v>
      </c>
      <c r="E92" s="3">
        <f t="shared" si="6"/>
        <v>0</v>
      </c>
      <c r="F92" s="3">
        <f t="shared" si="6"/>
        <v>0</v>
      </c>
      <c r="G92" s="3">
        <f t="shared" si="6"/>
        <v>0</v>
      </c>
      <c r="H92" s="3">
        <f t="shared" si="6"/>
        <v>0</v>
      </c>
      <c r="I92" s="3">
        <f t="shared" si="6"/>
        <v>0</v>
      </c>
      <c r="J92" s="3">
        <f t="shared" si="6"/>
        <v>0</v>
      </c>
      <c r="K92" s="3">
        <f t="shared" si="6"/>
        <v>0</v>
      </c>
      <c r="L92" s="3">
        <f t="shared" si="6"/>
        <v>0</v>
      </c>
      <c r="M92" s="3">
        <f t="shared" si="6"/>
        <v>0</v>
      </c>
      <c r="N92" s="3"/>
      <c r="O92" s="3"/>
      <c r="Q92" s="2">
        <f>SUM(OSRRefD23_0x)+IFERROR(SUM(OSRRefE23_0x),0)</f>
        <v>0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6"/>
      <c r="B94" s="17" t="s">
        <v>274</v>
      </c>
      <c r="C94" s="17"/>
      <c r="D94" s="8">
        <f t="shared" ref="D94:O94" si="7">IFERROR(+D21-D24+D92, 0)</f>
        <v>-64552.840000000004</v>
      </c>
      <c r="E94" s="8">
        <f t="shared" si="7"/>
        <v>-80866.710000000006</v>
      </c>
      <c r="F94" s="8">
        <f t="shared" si="7"/>
        <v>6713.8800000000047</v>
      </c>
      <c r="G94" s="8">
        <f t="shared" si="7"/>
        <v>-48503.709999999992</v>
      </c>
      <c r="H94" s="8">
        <f t="shared" si="7"/>
        <v>-69121.12000000001</v>
      </c>
      <c r="I94" s="8">
        <f t="shared" si="7"/>
        <v>-96019</v>
      </c>
      <c r="J94" s="8">
        <f t="shared" si="7"/>
        <v>-62988.930000000022</v>
      </c>
      <c r="K94" s="8">
        <f t="shared" si="7"/>
        <v>-68007.880000000034</v>
      </c>
      <c r="L94" s="8">
        <f t="shared" si="7"/>
        <v>-69051.270000000019</v>
      </c>
      <c r="M94" s="8">
        <f t="shared" si="7"/>
        <v>-89256.559999999983</v>
      </c>
      <c r="N94" s="8">
        <f t="shared" si="7"/>
        <v>-56266.253104769276</v>
      </c>
      <c r="O94" s="8">
        <f t="shared" si="7"/>
        <v>-80173.683104769298</v>
      </c>
      <c r="Q94" s="8">
        <f>IFERROR(+Q21-Q24+Q92, 0)</f>
        <v>-778094.07620953885</v>
      </c>
    </row>
    <row r="95" spans="1:17" s="6" customFormat="1" x14ac:dyDescent="0.25">
      <c r="B95" s="16"/>
      <c r="C95" s="16"/>
      <c r="D95" s="4">
        <f t="shared" ref="D95:O95" si="8">IFERROR(D94/D10, 0)</f>
        <v>0</v>
      </c>
      <c r="E95" s="4">
        <f t="shared" si="8"/>
        <v>-1.7326942080620376</v>
      </c>
      <c r="F95" s="4">
        <f t="shared" si="8"/>
        <v>3.6409406527996832E-2</v>
      </c>
      <c r="G95" s="4">
        <f t="shared" si="8"/>
        <v>-0.25692021251238151</v>
      </c>
      <c r="H95" s="4">
        <f t="shared" si="8"/>
        <v>-0.64144090236800344</v>
      </c>
      <c r="I95" s="4">
        <f t="shared" si="8"/>
        <v>-1.1285874338790385</v>
      </c>
      <c r="J95" s="4">
        <f t="shared" si="8"/>
        <v>-1.6398520229046889</v>
      </c>
      <c r="K95" s="4">
        <f t="shared" si="8"/>
        <v>-0.80347334360714939</v>
      </c>
      <c r="L95" s="4">
        <f t="shared" si="8"/>
        <v>-0.75221919645512492</v>
      </c>
      <c r="M95" s="4">
        <f t="shared" si="8"/>
        <v>-0.98991602025557579</v>
      </c>
      <c r="N95" s="4">
        <f t="shared" si="8"/>
        <v>-0.68329066505682456</v>
      </c>
      <c r="O95" s="4">
        <f t="shared" si="8"/>
        <v>0</v>
      </c>
      <c r="P95" s="18"/>
      <c r="Q95" s="4">
        <f>IFERROR(Q94/Q10, 0)</f>
        <v>-0.77804740892595148</v>
      </c>
    </row>
    <row r="96" spans="1:17" x14ac:dyDescent="0.25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x14ac:dyDescent="0.25">
      <c r="A97" s="25"/>
      <c r="B97" s="6" t="s">
        <v>125</v>
      </c>
      <c r="C97" s="6"/>
      <c r="D97" s="3"/>
      <c r="E97" s="3">
        <v>7879.78</v>
      </c>
      <c r="F97" s="3">
        <v>34927.22</v>
      </c>
      <c r="G97" s="3">
        <v>48143.64</v>
      </c>
      <c r="H97" s="3">
        <v>-7112</v>
      </c>
      <c r="I97" s="3">
        <v>29523.4</v>
      </c>
      <c r="J97" s="3">
        <v>4831.49</v>
      </c>
      <c r="K97" s="3">
        <v>27511.58</v>
      </c>
      <c r="L97" s="3">
        <v>24845.55</v>
      </c>
      <c r="M97" s="3">
        <v>21438.82</v>
      </c>
      <c r="N97" s="3">
        <v>42640</v>
      </c>
      <c r="O97" s="3">
        <v>7034</v>
      </c>
      <c r="Q97" s="2">
        <f>SUM(OSRRefD28_0x)+IFERROR(SUM(OSRRefE28_0x),0)</f>
        <v>241663.48</v>
      </c>
    </row>
    <row r="98" spans="1:17" x14ac:dyDescent="0.25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.75" thickBot="1" x14ac:dyDescent="0.3">
      <c r="A99" s="6"/>
      <c r="B99" s="17" t="s">
        <v>124</v>
      </c>
      <c r="C99" s="17"/>
      <c r="D99" s="7">
        <f t="shared" ref="D99:O99" si="9">IFERROR(+D94-D97, 0)</f>
        <v>-64552.840000000004</v>
      </c>
      <c r="E99" s="7">
        <f t="shared" si="9"/>
        <v>-88746.49</v>
      </c>
      <c r="F99" s="7">
        <f t="shared" si="9"/>
        <v>-28213.339999999997</v>
      </c>
      <c r="G99" s="7">
        <f t="shared" si="9"/>
        <v>-96647.349999999991</v>
      </c>
      <c r="H99" s="7">
        <f t="shared" si="9"/>
        <v>-62009.12000000001</v>
      </c>
      <c r="I99" s="7">
        <f t="shared" si="9"/>
        <v>-125542.39999999999</v>
      </c>
      <c r="J99" s="7">
        <f t="shared" si="9"/>
        <v>-67820.420000000027</v>
      </c>
      <c r="K99" s="7">
        <f t="shared" si="9"/>
        <v>-95519.460000000036</v>
      </c>
      <c r="L99" s="7">
        <f t="shared" si="9"/>
        <v>-93896.820000000022</v>
      </c>
      <c r="M99" s="7">
        <f t="shared" si="9"/>
        <v>-110695.37999999998</v>
      </c>
      <c r="N99" s="7">
        <f t="shared" si="9"/>
        <v>-98906.253104769276</v>
      </c>
      <c r="O99" s="7">
        <f t="shared" si="9"/>
        <v>-87207.683104769298</v>
      </c>
      <c r="Q99" s="7">
        <f>IFERROR(+Q94-Q97, 0)</f>
        <v>-1019757.5562095388</v>
      </c>
    </row>
    <row r="100" spans="1:17" ht="15.75" thickTop="1" x14ac:dyDescent="0.25">
      <c r="A100" s="5"/>
      <c r="B100" s="5"/>
      <c r="C100" s="5"/>
      <c r="D100" s="4">
        <f t="shared" ref="D100:O100" si="10">IFERROR(D99/D10, 0)</f>
        <v>0</v>
      </c>
      <c r="E100" s="4">
        <f t="shared" si="10"/>
        <v>-1.9015306695281105</v>
      </c>
      <c r="F100" s="4">
        <f t="shared" si="10"/>
        <v>-0.15300109110865748</v>
      </c>
      <c r="G100" s="4">
        <f t="shared" si="10"/>
        <v>-0.51193316347880435</v>
      </c>
      <c r="H100" s="4">
        <f t="shared" si="10"/>
        <v>-0.57544186043058632</v>
      </c>
      <c r="I100" s="4">
        <f t="shared" si="10"/>
        <v>-1.475599361157852</v>
      </c>
      <c r="J100" s="4">
        <f t="shared" si="10"/>
        <v>-1.7656348969770661</v>
      </c>
      <c r="K100" s="4">
        <f t="shared" si="10"/>
        <v>-1.1285065775576204</v>
      </c>
      <c r="L100" s="4">
        <f t="shared" si="10"/>
        <v>-1.0228775008785718</v>
      </c>
      <c r="M100" s="4">
        <f t="shared" si="10"/>
        <v>-1.2276871305624892</v>
      </c>
      <c r="N100" s="4">
        <f t="shared" si="10"/>
        <v>-1.2011057380415475</v>
      </c>
      <c r="O100" s="4">
        <f t="shared" si="10"/>
        <v>0</v>
      </c>
      <c r="P100" s="18"/>
      <c r="Q100" s="4">
        <f>IFERROR(Q99/Q10, 0)</f>
        <v>-1.0196963948197775</v>
      </c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.75" thickBot="1" x14ac:dyDescent="0.3">
      <c r="A103" s="6"/>
      <c r="B103" s="17" t="s">
        <v>292</v>
      </c>
      <c r="C103" s="17"/>
      <c r="D103" s="7">
        <f t="shared" ref="D103:O103" si="11">IFERROR(SUM(D99:D102), 0)</f>
        <v>-64552.840000000004</v>
      </c>
      <c r="E103" s="7">
        <f t="shared" si="11"/>
        <v>-88748.391530669527</v>
      </c>
      <c r="F103" s="7">
        <f t="shared" si="11"/>
        <v>-28213.493001091105</v>
      </c>
      <c r="G103" s="7">
        <f t="shared" si="11"/>
        <v>-96647.861933163469</v>
      </c>
      <c r="H103" s="7">
        <f t="shared" si="11"/>
        <v>-62009.695441860444</v>
      </c>
      <c r="I103" s="7">
        <f t="shared" si="11"/>
        <v>-125543.87559936116</v>
      </c>
      <c r="J103" s="7">
        <f t="shared" si="11"/>
        <v>-67822.185634897003</v>
      </c>
      <c r="K103" s="7">
        <f t="shared" si="11"/>
        <v>-95520.588506577595</v>
      </c>
      <c r="L103" s="7">
        <f t="shared" si="11"/>
        <v>-93897.842877500894</v>
      </c>
      <c r="M103" s="7">
        <f t="shared" si="11"/>
        <v>-110696.60768713054</v>
      </c>
      <c r="N103" s="7">
        <f t="shared" si="11"/>
        <v>-98907.45421050732</v>
      </c>
      <c r="O103" s="7">
        <f t="shared" si="11"/>
        <v>-87207.683104769298</v>
      </c>
      <c r="Q103" s="7">
        <f>IFERROR(SUM(Q99:Q102), 0)</f>
        <v>-1019758.5759059336</v>
      </c>
    </row>
    <row r="104" spans="1:17" ht="15.75" thickTop="1" x14ac:dyDescent="0.25">
      <c r="A104" s="5"/>
      <c r="C104" s="5"/>
      <c r="D104" s="4">
        <f t="shared" ref="D104:O104" si="12">IFERROR(D103/D10, 0)</f>
        <v>0</v>
      </c>
      <c r="E104" s="4">
        <f t="shared" si="12"/>
        <v>-1.9015714127607402</v>
      </c>
      <c r="F104" s="4">
        <f t="shared" si="12"/>
        <v>-0.15300192083437872</v>
      </c>
      <c r="G104" s="4">
        <f t="shared" si="12"/>
        <v>-0.5119358751471933</v>
      </c>
      <c r="H104" s="4">
        <f t="shared" si="12"/>
        <v>-0.57544720050531628</v>
      </c>
      <c r="I104" s="4">
        <f t="shared" si="12"/>
        <v>-1.4756167050470452</v>
      </c>
      <c r="J104" s="4">
        <f t="shared" si="12"/>
        <v>-1.765680863466059</v>
      </c>
      <c r="K104" s="4">
        <f t="shared" si="12"/>
        <v>-1.1285199102030898</v>
      </c>
      <c r="L104" s="4">
        <f t="shared" si="12"/>
        <v>-1.0228886437307132</v>
      </c>
      <c r="M104" s="4">
        <f t="shared" si="12"/>
        <v>-1.2277007464486314</v>
      </c>
      <c r="N104" s="4">
        <f t="shared" si="12"/>
        <v>-1.2011203241263366</v>
      </c>
      <c r="O104" s="4">
        <f t="shared" si="12"/>
        <v>0</v>
      </c>
      <c r="P104" s="18"/>
      <c r="Q104" s="4">
        <f>IFERROR(Q103/Q10, 0)</f>
        <v>-1.0196974144550146</v>
      </c>
    </row>
    <row r="105" spans="1:17" x14ac:dyDescent="0.25">
      <c r="A105" s="5"/>
      <c r="B105" s="27">
        <v>44330.012769791669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25">
      <c r="A106" s="5"/>
      <c r="B106" s="31" t="s">
        <v>54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25">
      <c r="A107" s="5"/>
      <c r="B107" s="26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  <row r="108" spans="1:17" x14ac:dyDescent="0.25"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SUM(OSRRefE11x_0)</f>
        <v>0</v>
      </c>
      <c r="O10" s="3">
        <f>SUM(OSRRefE11x_1)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3"/>
      <c r="B11" s="10" t="str">
        <f>CONCATENATE("          ","4100", " - ","NON-TAXABLE SALES")</f>
        <v xml:space="preserve">          4100 - NON-TAXABLE SALES</v>
      </c>
      <c r="C11" s="22"/>
      <c r="D11" s="2">
        <f t="shared" ref="D11:E12" si="0">0</f>
        <v>0</v>
      </c>
      <c r="E11" s="2">
        <f t="shared" si="0"/>
        <v>0</v>
      </c>
      <c r="F11" s="2">
        <f t="shared" ref="F11:M11" si="1">0</f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25">
      <c r="A12" s="23"/>
      <c r="B12" s="10" t="str">
        <f>CONCATENATE("          ","4151", " - ","NON-TAXABLE SALES-FOOD")</f>
        <v xml:space="preserve">          4151 - NON-TAXABLE SALES-FOOD</v>
      </c>
      <c r="C12" s="22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>
        <f t="shared" ref="H12:M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/>
      <c r="O12" s="2"/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3"/>
      <c r="B14" s="16" t="s">
        <v>217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0</v>
      </c>
      <c r="M14" s="3">
        <f>SUM(OSRRefD14x_9)</f>
        <v>0</v>
      </c>
      <c r="N14" s="3">
        <f>SUM(OSRRefE14x_0)</f>
        <v>0</v>
      </c>
      <c r="O14" s="3">
        <f>SUM(OSRRefE14x_1)</f>
        <v>0</v>
      </c>
      <c r="Q14" s="3">
        <f>SUM(OSRRefG14x)</f>
        <v>0</v>
      </c>
    </row>
    <row r="15" spans="1:18" s="9" customFormat="1" hidden="1" outlineLevel="1" x14ac:dyDescent="0.25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8">
        <f t="shared" ref="D17:O17" si="3">IFERROR(+D10-D14, 0)</f>
        <v>0</v>
      </c>
      <c r="E17" s="8">
        <f t="shared" si="3"/>
        <v>0</v>
      </c>
      <c r="F17" s="8">
        <f t="shared" si="3"/>
        <v>12545.13</v>
      </c>
      <c r="G17" s="8">
        <f t="shared" si="3"/>
        <v>-12545.13</v>
      </c>
      <c r="H17" s="8">
        <f t="shared" si="3"/>
        <v>0</v>
      </c>
      <c r="I17" s="8">
        <f t="shared" si="3"/>
        <v>0</v>
      </c>
      <c r="J17" s="8">
        <f t="shared" si="3"/>
        <v>0</v>
      </c>
      <c r="K17" s="8">
        <f t="shared" si="3"/>
        <v>0</v>
      </c>
      <c r="L17" s="8">
        <f t="shared" si="3"/>
        <v>0</v>
      </c>
      <c r="M17" s="8">
        <f t="shared" si="3"/>
        <v>0</v>
      </c>
      <c r="N17" s="8">
        <f t="shared" si="3"/>
        <v>0</v>
      </c>
      <c r="O17" s="8">
        <f t="shared" si="3"/>
        <v>0</v>
      </c>
      <c r="Q17" s="8">
        <f>IFERROR(+Q10-Q14, 0)</f>
        <v>0</v>
      </c>
    </row>
    <row r="18" spans="1:17" s="6" customFormat="1" x14ac:dyDescent="0.25">
      <c r="B18" s="16"/>
      <c r="C18" s="16"/>
      <c r="D18" s="4">
        <f t="shared" ref="D18:O18" si="4">IFERROR(D17/D10, 0)</f>
        <v>0</v>
      </c>
      <c r="E18" s="4">
        <f t="shared" si="4"/>
        <v>0</v>
      </c>
      <c r="F18" s="4">
        <f t="shared" si="4"/>
        <v>1</v>
      </c>
      <c r="G18" s="4">
        <f t="shared" si="4"/>
        <v>1</v>
      </c>
      <c r="H18" s="4">
        <f t="shared" si="4"/>
        <v>0</v>
      </c>
      <c r="I18" s="4">
        <f t="shared" si="4"/>
        <v>0</v>
      </c>
      <c r="J18" s="4">
        <f t="shared" si="4"/>
        <v>0</v>
      </c>
      <c r="K18" s="4">
        <f t="shared" si="4"/>
        <v>0</v>
      </c>
      <c r="L18" s="4">
        <f t="shared" si="4"/>
        <v>0</v>
      </c>
      <c r="M18" s="4">
        <f t="shared" si="4"/>
        <v>0</v>
      </c>
      <c r="N18" s="4">
        <f t="shared" si="4"/>
        <v>0</v>
      </c>
      <c r="O18" s="4">
        <f t="shared" si="4"/>
        <v>0</v>
      </c>
      <c r="P18" s="18"/>
      <c r="Q18" s="4">
        <f>IFERROR(Q17/Q10, 0)</f>
        <v>0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254</v>
      </c>
      <c r="C20" s="6"/>
      <c r="D20" s="14">
        <f>SUM(OSRRefD20x_0)</f>
        <v>40360.14</v>
      </c>
      <c r="E20" s="14">
        <f>SUM(OSRRefD20x_1)</f>
        <v>38261.779999999992</v>
      </c>
      <c r="F20" s="14">
        <f>SUM(OSRRefD20x_2)</f>
        <v>41024.689999999995</v>
      </c>
      <c r="G20" s="14">
        <f>SUM(OSRRefD20x_3)</f>
        <v>49851.29</v>
      </c>
      <c r="H20" s="14">
        <f>SUM(OSRRefD20x_4)</f>
        <v>41541.899999999994</v>
      </c>
      <c r="I20" s="14">
        <f>SUM(OSRRefD20x_5)</f>
        <v>37830.829999999994</v>
      </c>
      <c r="J20" s="14">
        <f>SUM(OSRRefD20x_6)</f>
        <v>41216.370000000003</v>
      </c>
      <c r="K20" s="14">
        <f>SUM(OSRRefD20x_7)</f>
        <v>37497.520000000004</v>
      </c>
      <c r="L20" s="14">
        <f>SUM(OSRRefD20x_8)</f>
        <v>41679.39</v>
      </c>
      <c r="M20" s="14">
        <f>SUM(OSRRefD20x_9)</f>
        <v>41903.239999999991</v>
      </c>
      <c r="N20" s="14">
        <f>SUM(OSRRefE20x_0)</f>
        <v>51990.440795587667</v>
      </c>
      <c r="O20" s="14">
        <f>SUM(OSRRefE20x_1)</f>
        <v>51981.440795587667</v>
      </c>
      <c r="Q20" s="14">
        <f>SUM(OSRRefG20x)</f>
        <v>515139.03159117536</v>
      </c>
    </row>
    <row r="21" spans="1:17" s="34" customFormat="1" collapsed="1" x14ac:dyDescent="0.25">
      <c r="A21" s="35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SUM(OSRRefD21_0x_4)</f>
        <v>20032.95</v>
      </c>
      <c r="I21" s="1">
        <f>SUM(OSRRefD21_0x_5)</f>
        <v>19389.310000000001</v>
      </c>
      <c r="J21" s="1">
        <f>SUM(OSRRefD21_0x_6)</f>
        <v>18049.039999999997</v>
      </c>
      <c r="K21" s="1">
        <f>SUM(OSRRefD21_0x_7)</f>
        <v>19163.940000000002</v>
      </c>
      <c r="L21" s="1">
        <f>SUM(OSRRefD21_0x_8)</f>
        <v>18454.100000000002</v>
      </c>
      <c r="M21" s="1">
        <f>SUM(OSRRefD21_0x_9)</f>
        <v>20739.579999999998</v>
      </c>
      <c r="N21" s="1">
        <f>SUM(OSRRefE21_0x_0)</f>
        <v>23969.903337126128</v>
      </c>
      <c r="O21" s="1">
        <f>SUM(OSRRefE21_0x_1)</f>
        <v>23969.903337126128</v>
      </c>
      <c r="Q21" s="2">
        <f>SUM(OSRRefD20_0x)+IFERROR(SUM(OSRRefE20_0x),0)</f>
        <v>242743.03667425225</v>
      </c>
    </row>
    <row r="22" spans="1:17" s="34" customFormat="1" hidden="1" outlineLevel="1" x14ac:dyDescent="0.25">
      <c r="A22" s="35"/>
      <c r="B22" s="10" t="str">
        <f>CONCATENATE("          ","6111", " - ","F.I.C.A.")</f>
        <v xml:space="preserve">          6111 - F.I.C.A.</v>
      </c>
      <c r="C22" s="11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1650.74</v>
      </c>
      <c r="I22" s="2">
        <v>1490.37</v>
      </c>
      <c r="J22" s="2">
        <v>1610.27</v>
      </c>
      <c r="K22" s="2">
        <v>1547.59</v>
      </c>
      <c r="L22" s="2">
        <v>1560.31</v>
      </c>
      <c r="M22" s="2">
        <v>2307.2399999999998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21790.21060594462</v>
      </c>
    </row>
    <row r="23" spans="1:17" s="34" customFormat="1" hidden="1" outlineLevel="1" x14ac:dyDescent="0.25">
      <c r="A23" s="35"/>
      <c r="B23" s="10" t="str">
        <f>CONCATENATE("          ","6112", " - ","COMPENSATION INSURANCE")</f>
        <v xml:space="preserve">          6112 - COMPENSATION INSURANCE</v>
      </c>
      <c r="C23" s="11"/>
      <c r="D23" s="2">
        <v>727.63</v>
      </c>
      <c r="E23" s="2">
        <v>805.48</v>
      </c>
      <c r="F23" s="2">
        <v>913.35</v>
      </c>
      <c r="G23" s="2">
        <v>889.03</v>
      </c>
      <c r="H23" s="2">
        <v>1428.3</v>
      </c>
      <c r="I23" s="2">
        <v>1428.3</v>
      </c>
      <c r="J23" s="2">
        <v>365.63</v>
      </c>
      <c r="K23" s="2">
        <v>901.85</v>
      </c>
      <c r="L23" s="2">
        <v>873.13</v>
      </c>
      <c r="M23" s="2">
        <v>853.5</v>
      </c>
      <c r="N23" s="2">
        <v>1264.1207304</v>
      </c>
      <c r="O23" s="2">
        <v>1264.1207304</v>
      </c>
      <c r="P23" s="9"/>
      <c r="Q23" s="2">
        <f>SUM(OSRRefD21_0_1x)+IFERROR(SUM(OSRRefE21_0_1x),0)</f>
        <v>11714.441460800001</v>
      </c>
    </row>
    <row r="24" spans="1:17" s="34" customFormat="1" hidden="1" outlineLevel="1" x14ac:dyDescent="0.25">
      <c r="A24" s="35"/>
      <c r="B24" s="10" t="str">
        <f>CONCATENATE("          ","6113", " - ","GROUP INSURANCE")</f>
        <v xml:space="preserve">          6113 - GROUP INSURANCE</v>
      </c>
      <c r="C24" s="11"/>
      <c r="D24" s="2">
        <v>12616.96</v>
      </c>
      <c r="E24" s="2">
        <v>12616.93</v>
      </c>
      <c r="F24" s="2">
        <v>12616.93</v>
      </c>
      <c r="G24" s="2">
        <v>12616.92</v>
      </c>
      <c r="H24" s="2">
        <v>12616.92</v>
      </c>
      <c r="I24" s="2">
        <v>12616.94</v>
      </c>
      <c r="J24" s="2">
        <v>12477.9</v>
      </c>
      <c r="K24" s="2">
        <v>12477.88</v>
      </c>
      <c r="L24" s="2">
        <v>12477.9</v>
      </c>
      <c r="M24" s="2">
        <v>12477.9</v>
      </c>
      <c r="N24" s="2">
        <v>17330.769230769201</v>
      </c>
      <c r="O24" s="2">
        <v>17330.769230769201</v>
      </c>
      <c r="P24" s="9"/>
      <c r="Q24" s="2">
        <f>SUM(OSRRefD21_0_2x)+IFERROR(SUM(OSRRefE21_0_2x),0)</f>
        <v>160274.71846153837</v>
      </c>
    </row>
    <row r="25" spans="1:17" s="34" customFormat="1" hidden="1" outlineLevel="1" x14ac:dyDescent="0.25">
      <c r="A25" s="35"/>
      <c r="B25" s="10" t="str">
        <f>CONCATENATE("          ","6114", " - ","STATE UNEMPLOYMENT INSURANCE")</f>
        <v xml:space="preserve">          6114 - STATE UNEMPLOYMENT INSURANCE</v>
      </c>
      <c r="C25" s="11"/>
      <c r="D25" s="2">
        <v>48.13</v>
      </c>
      <c r="E25" s="2">
        <v>53.46</v>
      </c>
      <c r="F25" s="2">
        <v>55.36</v>
      </c>
      <c r="G25" s="2">
        <v>53.87</v>
      </c>
      <c r="H25" s="2">
        <v>86.56</v>
      </c>
      <c r="I25" s="2"/>
      <c r="J25" s="2">
        <v>108.72</v>
      </c>
      <c r="K25" s="2">
        <v>54.66</v>
      </c>
      <c r="L25" s="2">
        <v>52.92</v>
      </c>
      <c r="M25" s="2">
        <v>51.73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718.63675519999993</v>
      </c>
    </row>
    <row r="26" spans="1:17" s="34" customFormat="1" hidden="1" outlineLevel="1" x14ac:dyDescent="0.25">
      <c r="A26" s="35"/>
      <c r="B26" s="10" t="str">
        <f>CONCATENATE("          ","6115", " - ","P.E.R.S.")</f>
        <v xml:space="preserve">          6115 - P.E.R.S.</v>
      </c>
      <c r="C26" s="11"/>
      <c r="D26" s="2">
        <v>727.6</v>
      </c>
      <c r="E26" s="2">
        <v>485.07</v>
      </c>
      <c r="F26" s="2">
        <v>485.07</v>
      </c>
      <c r="G26" s="2">
        <v>485.07</v>
      </c>
      <c r="H26" s="2">
        <v>603.29999999999995</v>
      </c>
      <c r="I26" s="2">
        <v>485.07</v>
      </c>
      <c r="J26" s="2">
        <v>736.72</v>
      </c>
      <c r="K26" s="2">
        <v>494.19</v>
      </c>
      <c r="L26" s="2">
        <v>494.19</v>
      </c>
      <c r="M26" s="2">
        <v>494.19</v>
      </c>
      <c r="N26" s="2">
        <v>378.168461538462</v>
      </c>
      <c r="O26" s="2">
        <v>378.168461538462</v>
      </c>
      <c r="P26" s="9"/>
      <c r="Q26" s="2">
        <f>SUM(OSRRefD21_0_4x)+IFERROR(SUM(OSRRefE21_0_4x),0)</f>
        <v>6246.8069230769224</v>
      </c>
    </row>
    <row r="27" spans="1:17" s="34" customFormat="1" hidden="1" outlineLevel="1" x14ac:dyDescent="0.25">
      <c r="A27" s="35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0" t="str">
        <f>CONCATENATE("          ","6117", " - ","RETIREMENT STAFF HOURLY")</f>
        <v xml:space="preserve">          6117 - RETIREMENT STAFF HOURLY</v>
      </c>
      <c r="C28" s="11"/>
      <c r="D28" s="2">
        <v>691.86</v>
      </c>
      <c r="E28" s="2">
        <v>533.82000000000005</v>
      </c>
      <c r="F28" s="2">
        <v>558.34</v>
      </c>
      <c r="G28" s="2">
        <v>546.80999999999995</v>
      </c>
      <c r="H28" s="2">
        <v>574.07000000000005</v>
      </c>
      <c r="I28" s="2">
        <v>543.59</v>
      </c>
      <c r="J28" s="2">
        <v>551.29999999999995</v>
      </c>
      <c r="K28" s="2">
        <v>585.27</v>
      </c>
      <c r="L28" s="2">
        <v>797.15</v>
      </c>
      <c r="M28" s="2">
        <v>502.56</v>
      </c>
      <c r="N28" s="2"/>
      <c r="O28" s="2"/>
      <c r="P28" s="9"/>
      <c r="Q28" s="2">
        <f>SUM(OSRRefD21_0_6x)+IFERROR(SUM(OSRRefE21_0_6x),0)</f>
        <v>5884.7699999999995</v>
      </c>
    </row>
    <row r="29" spans="1:17" s="34" customFormat="1" hidden="1" outlineLevel="1" x14ac:dyDescent="0.25">
      <c r="A29" s="35"/>
      <c r="B29" s="10" t="str">
        <f>CONCATENATE("          ","6118", " - ","VACATION")</f>
        <v xml:space="preserve">          6118 - VACATION</v>
      </c>
      <c r="C29" s="11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1242.1400000000001</v>
      </c>
      <c r="I29" s="2">
        <v>1242.1199999999999</v>
      </c>
      <c r="J29" s="2">
        <v>1248.1600000000001</v>
      </c>
      <c r="K29" s="2">
        <v>1248.1600000000001</v>
      </c>
      <c r="L29" s="2">
        <v>1248.1600000000001</v>
      </c>
      <c r="M29" s="2">
        <v>1872.24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17013.169138461541</v>
      </c>
    </row>
    <row r="30" spans="1:17" s="34" customFormat="1" hidden="1" outlineLevel="1" x14ac:dyDescent="0.25">
      <c r="A30" s="35"/>
      <c r="B30" s="10" t="str">
        <f>CONCATENATE("          ","6119", " - ","SICK LEAVE")</f>
        <v xml:space="preserve">          6119 - SICK LEAVE</v>
      </c>
      <c r="C30" s="11"/>
      <c r="D30" s="2">
        <v>946.52</v>
      </c>
      <c r="E30" s="2">
        <v>946.52</v>
      </c>
      <c r="F30" s="2">
        <v>946.52</v>
      </c>
      <c r="G30" s="2">
        <v>1419.77</v>
      </c>
      <c r="H30" s="2">
        <v>946.52</v>
      </c>
      <c r="I30" s="2">
        <v>946.52</v>
      </c>
      <c r="J30" s="2">
        <v>950.34</v>
      </c>
      <c r="K30" s="2">
        <v>950.34</v>
      </c>
      <c r="L30" s="2">
        <v>950.34</v>
      </c>
      <c r="M30" s="2">
        <v>1425.51</v>
      </c>
      <c r="N30" s="2">
        <v>971.94666461538498</v>
      </c>
      <c r="O30" s="2">
        <v>971.94666461538498</v>
      </c>
      <c r="P30" s="9"/>
      <c r="Q30" s="2">
        <f>SUM(OSRRefD21_0_8x)+IFERROR(SUM(OSRRefE21_0_8x),0)</f>
        <v>12372.793329230772</v>
      </c>
    </row>
    <row r="31" spans="1:17" s="34" customFormat="1" hidden="1" outlineLevel="1" x14ac:dyDescent="0.25">
      <c r="A31" s="35"/>
      <c r="B31" s="10" t="str">
        <f>CONCATENATE("          ","6156", " - ","EMPLOYEE MEALS")</f>
        <v xml:space="preserve">          6156 - EMPLOYEE MEALS</v>
      </c>
      <c r="C31" s="11"/>
      <c r="D31" s="2">
        <v>894</v>
      </c>
      <c r="E31" s="2">
        <v>694.8</v>
      </c>
      <c r="F31" s="2">
        <v>824</v>
      </c>
      <c r="G31" s="2">
        <v>1135.18</v>
      </c>
      <c r="H31" s="2">
        <v>884.4</v>
      </c>
      <c r="I31" s="2">
        <v>636.4</v>
      </c>
      <c r="J31" s="2"/>
      <c r="K31" s="2">
        <v>904</v>
      </c>
      <c r="L31" s="2"/>
      <c r="M31" s="2">
        <v>754.71</v>
      </c>
      <c r="N31" s="2"/>
      <c r="O31" s="2"/>
      <c r="P31" s="9"/>
      <c r="Q31" s="2">
        <f>SUM(OSRRefD21_0_9x)+IFERROR(SUM(OSRRefE21_0_9x),0)</f>
        <v>6727.49</v>
      </c>
    </row>
    <row r="32" spans="1:17" s="34" customFormat="1" collapsed="1" x14ac:dyDescent="0.25">
      <c r="A32" s="35"/>
      <c r="B32" s="11" t="str">
        <f>CONCATENATE("     ","*Payroll                                          ")</f>
        <v xml:space="preserve">     *Payroll                                          </v>
      </c>
      <c r="C32" s="11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SUM(OSRRefD21_1x_4)</f>
        <v>21240.03</v>
      </c>
      <c r="I32" s="1">
        <f>SUM(OSRRefD21_1x_5)</f>
        <v>17430.64</v>
      </c>
      <c r="J32" s="1">
        <f>SUM(OSRRefD21_1x_6)</f>
        <v>21011.260000000002</v>
      </c>
      <c r="K32" s="1">
        <f>SUM(OSRRefD21_1x_7)</f>
        <v>18114.66</v>
      </c>
      <c r="L32" s="1">
        <f>SUM(OSRRefD21_1x_8)</f>
        <v>21118.91</v>
      </c>
      <c r="M32" s="1">
        <f>SUM(OSRRefD21_1x_9)</f>
        <v>20275.099999999999</v>
      </c>
      <c r="N32" s="1">
        <f>SUM(OSRRefE21_1x_0)</f>
        <v>26801.537458461538</v>
      </c>
      <c r="O32" s="1">
        <f>SUM(OSRRefE21_1x_1)</f>
        <v>26801.537458461538</v>
      </c>
      <c r="Q32" s="2">
        <f>SUM(OSRRefD20_1x)+IFERROR(SUM(OSRRefE20_1x),0)</f>
        <v>258262.46491692308</v>
      </c>
    </row>
    <row r="33" spans="1:17" s="34" customFormat="1" hidden="1" outlineLevel="1" x14ac:dyDescent="0.25">
      <c r="A33" s="35"/>
      <c r="B33" s="10" t="str">
        <f>CONCATENATE("          ","6001", " - ","ADMINISTRATIVE SALARIES")</f>
        <v xml:space="preserve">          6001 - ADMINISTRATIVE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0" t="str">
        <f>CONCATENATE("          ","6002", " - ","STAFF SALARIES")</f>
        <v xml:space="preserve">          6002 - STAFF SALARIES</v>
      </c>
      <c r="C34" s="11"/>
      <c r="D34" s="2">
        <v>4836.72</v>
      </c>
      <c r="E34" s="2">
        <v>4397.32</v>
      </c>
      <c r="F34" s="2">
        <v>4177.45</v>
      </c>
      <c r="G34" s="2">
        <v>5277.11</v>
      </c>
      <c r="H34" s="2">
        <v>4397.32</v>
      </c>
      <c r="I34" s="2">
        <v>3626.07</v>
      </c>
      <c r="J34" s="2">
        <v>3883</v>
      </c>
      <c r="K34" s="2">
        <v>3883</v>
      </c>
      <c r="L34" s="2">
        <v>4555</v>
      </c>
      <c r="M34" s="2">
        <v>4256</v>
      </c>
      <c r="N34" s="2">
        <v>3737.7115384615399</v>
      </c>
      <c r="O34" s="2">
        <v>3737.7115384615399</v>
      </c>
      <c r="P34" s="9"/>
      <c r="Q34" s="2">
        <f>SUM(OSRRefD21_1_1x)+IFERROR(SUM(OSRRefE21_1_1x),0)</f>
        <v>50764.413076923083</v>
      </c>
    </row>
    <row r="35" spans="1:17" s="34" customFormat="1" hidden="1" outlineLevel="1" x14ac:dyDescent="0.25">
      <c r="A35" s="35"/>
      <c r="B35" s="10" t="str">
        <f>CONCATENATE("          ","6003", " - ","STAFF HOURLY-9 MONTH")</f>
        <v xml:space="preserve">          6003 - STAFF HOURLY-9 MONTH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0" t="str">
        <f>CONCATENATE("          ","6004", " - ","STAFF HOURLY")</f>
        <v xml:space="preserve">          6004 - STAFF HOURLY</v>
      </c>
      <c r="C36" s="11"/>
      <c r="D36" s="2">
        <v>10493.58</v>
      </c>
      <c r="E36" s="2">
        <v>15222.89</v>
      </c>
      <c r="F36" s="2">
        <v>16376.96</v>
      </c>
      <c r="G36" s="2">
        <v>24686.76</v>
      </c>
      <c r="H36" s="2">
        <v>16842.71</v>
      </c>
      <c r="I36" s="2">
        <v>13804.57</v>
      </c>
      <c r="J36" s="2">
        <v>13660.26</v>
      </c>
      <c r="K36" s="2">
        <v>15083.66</v>
      </c>
      <c r="L36" s="2">
        <v>15569.91</v>
      </c>
      <c r="M36" s="2">
        <v>19629.099999999999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207498.05184</v>
      </c>
    </row>
    <row r="37" spans="1:17" s="34" customFormat="1" hidden="1" outlineLevel="1" x14ac:dyDescent="0.25">
      <c r="A37" s="35"/>
      <c r="B37" s="10" t="str">
        <f>CONCATENATE("          ","6005", " - ","TEMPORARY WAGES-HOURLY")</f>
        <v xml:space="preserve">          6005 - TEMPORARY WAGES-HOURLY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4" customFormat="1" hidden="1" outlineLevel="1" x14ac:dyDescent="0.25">
      <c r="A38" s="35"/>
      <c r="B38" s="10" t="str">
        <f>CONCATENATE("          ","6006", " - ","TEMPORARY PART TIME")</f>
        <v xml:space="preserve">          6006 - TEMPORARY PART TIME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0" t="str">
        <f>CONCATENATE("          ","6007", " - ","STUDENT HOURLY")</f>
        <v xml:space="preserve">          6007 - STUDENT HOURLY</v>
      </c>
      <c r="C39" s="11"/>
      <c r="D39" s="2">
        <v>3413</v>
      </c>
      <c r="E39" s="2">
        <v>-790</v>
      </c>
      <c r="F39" s="2">
        <v>650</v>
      </c>
      <c r="G39" s="2">
        <v>-3273</v>
      </c>
      <c r="H39" s="2"/>
      <c r="I39" s="2"/>
      <c r="J39" s="2">
        <v>3468</v>
      </c>
      <c r="K39" s="2">
        <v>-852</v>
      </c>
      <c r="L39" s="2">
        <v>994</v>
      </c>
      <c r="M39" s="2">
        <v>-3610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25">
      <c r="A40" s="35"/>
      <c r="B40" s="10" t="str">
        <f>CONCATENATE("          ","6008", " - ","STUDENT HOURLY-FICA EXEMPT")</f>
        <v xml:space="preserve">          6008 - STUDENT HOURLY-FICA EXEMPT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4" customFormat="1" hidden="1" outlineLevel="1" x14ac:dyDescent="0.25">
      <c r="A41" s="35"/>
      <c r="B41" s="10" t="str">
        <f>CONCATENATE("          ","6009", " - ","TEMPORARY-SEASONAL")</f>
        <v xml:space="preserve">          6009 - TEMPORARY-SEASONAL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0" t="str">
        <f>CONCATENATE("          ","6010", " - ","GRATUITY")</f>
        <v xml:space="preserve">          6010 - GRATUITY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1" t="str">
        <f>CONCATENATE("     ","Advertising/Promo                                 ")</f>
        <v xml:space="preserve">     Advertising/Promo                                 </v>
      </c>
      <c r="C43" s="11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SUM(OSRRefD21_2x_8)</f>
        <v>0</v>
      </c>
      <c r="M43" s="1">
        <f>SUM(OSRRefD21_2x_9)</f>
        <v>0</v>
      </c>
      <c r="N43" s="1">
        <f>SUM(OSRRefE21_2x_0)</f>
        <v>0</v>
      </c>
      <c r="O43" s="1">
        <f>SUM(OSRRefE21_2x_1)</f>
        <v>0</v>
      </c>
      <c r="Q43" s="2">
        <f>SUM(OSRRefD20_2x)+IFERROR(SUM(OSRRefE20_2x),0)</f>
        <v>0</v>
      </c>
    </row>
    <row r="44" spans="1:17" s="34" customFormat="1" hidden="1" outlineLevel="1" x14ac:dyDescent="0.25">
      <c r="A44" s="35"/>
      <c r="B44" s="10" t="str">
        <f>CONCATENATE("          ","6362", " - ","ADVERTISING EXPENSE")</f>
        <v xml:space="preserve">          6362 - ADVERTISING EXPENSE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>
        <v>0</v>
      </c>
      <c r="O44" s="2"/>
      <c r="P44" s="9"/>
      <c r="Q44" s="2">
        <f>SUM(OSRRefD21_2_0x)+IFERROR(SUM(OSRRefE21_2_0x),0)</f>
        <v>0</v>
      </c>
    </row>
    <row r="45" spans="1:17" s="34" customFormat="1" collapsed="1" x14ac:dyDescent="0.25">
      <c r="A45" s="35"/>
      <c r="B45" s="11" t="str">
        <f>CONCATENATE("     ","Bad Debts/Over/Short                              ")</f>
        <v xml:space="preserve">     Bad Debts/Over/Short                              </v>
      </c>
      <c r="C45" s="11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</v>
      </c>
      <c r="K45" s="1">
        <f>SUM(OSRRefD21_3x_7)</f>
        <v>0</v>
      </c>
      <c r="L45" s="1">
        <f>SUM(OSRRefD21_3x_8)</f>
        <v>0</v>
      </c>
      <c r="M45" s="1">
        <f>SUM(OSRRefD21_3x_9)</f>
        <v>0</v>
      </c>
      <c r="N45" s="1">
        <f>SUM(OSRRefE21_3x_0)</f>
        <v>8</v>
      </c>
      <c r="O45" s="1">
        <f>SUM(OSRRefE21_3x_1)</f>
        <v>0</v>
      </c>
      <c r="Q45" s="2">
        <f>SUM(OSRRefD20_3x)+IFERROR(SUM(OSRRefE20_3x),0)</f>
        <v>37.739999999999995</v>
      </c>
    </row>
    <row r="46" spans="1:17" s="34" customFormat="1" hidden="1" outlineLevel="1" x14ac:dyDescent="0.25">
      <c r="A46" s="35"/>
      <c r="B46" s="10" t="str">
        <f>CONCATENATE("          ","6272", " - ","CASH (OVER/SHORT)")</f>
        <v xml:space="preserve">          6272 - CASH (OVER/SHORT)</v>
      </c>
      <c r="C46" s="11"/>
      <c r="D46" s="2"/>
      <c r="E46" s="2"/>
      <c r="F46" s="2">
        <v>29.74</v>
      </c>
      <c r="G46" s="2"/>
      <c r="H46" s="2"/>
      <c r="I46" s="2"/>
      <c r="J46" s="2"/>
      <c r="K46" s="2"/>
      <c r="L46" s="2"/>
      <c r="M46" s="2"/>
      <c r="N46" s="2">
        <v>8</v>
      </c>
      <c r="O46" s="2"/>
      <c r="P46" s="9"/>
      <c r="Q46" s="2">
        <f>SUM(OSRRefD21_3_0x)+IFERROR(SUM(OSRRefE21_3_0x),0)</f>
        <v>37.739999999999995</v>
      </c>
    </row>
    <row r="47" spans="1:17" s="34" customFormat="1" collapsed="1" x14ac:dyDescent="0.25">
      <c r="A47" s="35"/>
      <c r="B47" s="11" t="str">
        <f>CONCATENATE("     ","Bank/card Fees                                    ")</f>
        <v xml:space="preserve">     Bank/card Fees                                    </v>
      </c>
      <c r="C47" s="11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SUM(OSRRefD21_4x_4)</f>
        <v>0</v>
      </c>
      <c r="I47" s="1">
        <f>SUM(OSRRefD21_4x_5)</f>
        <v>0</v>
      </c>
      <c r="J47" s="1">
        <f>SUM(OSRRefD21_4x_6)</f>
        <v>0</v>
      </c>
      <c r="K47" s="1">
        <f>SUM(OSRRefD21_4x_7)</f>
        <v>0</v>
      </c>
      <c r="L47" s="1">
        <f>SUM(OSRRefD21_4x_8)</f>
        <v>0</v>
      </c>
      <c r="M47" s="1">
        <f>SUM(OSRRefD21_4x_9)</f>
        <v>0</v>
      </c>
      <c r="N47" s="1">
        <f>SUM(OSRRefE21_4x_0)</f>
        <v>1</v>
      </c>
      <c r="O47" s="1">
        <f>SUM(OSRRefE21_4x_1)</f>
        <v>0</v>
      </c>
      <c r="Q47" s="2">
        <f>SUM(OSRRefD20_4x)+IFERROR(SUM(OSRRefE20_4x),0)</f>
        <v>1</v>
      </c>
    </row>
    <row r="48" spans="1:17" s="34" customFormat="1" hidden="1" outlineLevel="1" x14ac:dyDescent="0.25">
      <c r="A48" s="35"/>
      <c r="B48" s="10" t="str">
        <f>CONCATENATE("          ","6381", " - ","BANK/CREDIT CARD FEES")</f>
        <v xml:space="preserve">          6381 - BANK/CREDIT CARD FEES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1</v>
      </c>
      <c r="O48" s="2">
        <v>0</v>
      </c>
      <c r="P48" s="9"/>
      <c r="Q48" s="2">
        <f>SUM(OSRRefD21_4_0x)+IFERROR(SUM(OSRRefE21_4_0x),0)</f>
        <v>1</v>
      </c>
    </row>
    <row r="49" spans="1:17" s="34" customFormat="1" collapsed="1" x14ac:dyDescent="0.25">
      <c r="A49" s="35"/>
      <c r="B49" s="11" t="str">
        <f>CONCATENATE("     ","Depreciation                                      ")</f>
        <v xml:space="preserve">     Depreciation                                      </v>
      </c>
      <c r="C49" s="11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SUM(OSRRefD21_5x_4)</f>
        <v>213.02</v>
      </c>
      <c r="I49" s="1">
        <f>SUM(OSRRefD21_5x_5)</f>
        <v>213.02</v>
      </c>
      <c r="J49" s="1">
        <f>SUM(OSRRefD21_5x_6)</f>
        <v>213.02</v>
      </c>
      <c r="K49" s="1">
        <f>SUM(OSRRefD21_5x_7)</f>
        <v>213.02</v>
      </c>
      <c r="L49" s="1">
        <f>SUM(OSRRefD21_5x_8)</f>
        <v>213.02</v>
      </c>
      <c r="M49" s="1">
        <f>SUM(OSRRefD21_5x_9)</f>
        <v>213.02</v>
      </c>
      <c r="N49" s="1">
        <f>SUM(OSRRefE21_5x_0)</f>
        <v>213</v>
      </c>
      <c r="O49" s="1">
        <f>SUM(OSRRefE21_5x_1)</f>
        <v>213</v>
      </c>
      <c r="Q49" s="2">
        <f>SUM(OSRRefD20_5x)+IFERROR(SUM(OSRRefE20_5x),0)</f>
        <v>2556.2000000000003</v>
      </c>
    </row>
    <row r="50" spans="1:17" s="34" customFormat="1" hidden="1" outlineLevel="1" x14ac:dyDescent="0.25">
      <c r="A50" s="35"/>
      <c r="B50" s="10" t="str">
        <f>CONCATENATE("          ","6322", " - ","EQUIPMENT DEPRECIATION EXPENSE")</f>
        <v xml:space="preserve">          6322 - EQUIPMENT DEPRECIATION EXPENSE</v>
      </c>
      <c r="C50" s="11"/>
      <c r="D50" s="2">
        <v>213.02</v>
      </c>
      <c r="E50" s="2">
        <v>213.02</v>
      </c>
      <c r="F50" s="2">
        <v>213.02</v>
      </c>
      <c r="G50" s="2">
        <v>213.02</v>
      </c>
      <c r="H50" s="2">
        <v>213.02</v>
      </c>
      <c r="I50" s="2">
        <v>213.02</v>
      </c>
      <c r="J50" s="2">
        <v>213.02</v>
      </c>
      <c r="K50" s="2">
        <v>213.02</v>
      </c>
      <c r="L50" s="2">
        <v>213.02</v>
      </c>
      <c r="M50" s="2">
        <v>213.02</v>
      </c>
      <c r="N50" s="2">
        <v>213</v>
      </c>
      <c r="O50" s="2">
        <v>213</v>
      </c>
      <c r="P50" s="9"/>
      <c r="Q50" s="2">
        <f>SUM(OSRRefD21_5_0x)+IFERROR(SUM(OSRRefE21_5_0x),0)</f>
        <v>2556.2000000000003</v>
      </c>
    </row>
    <row r="51" spans="1:17" s="34" customFormat="1" collapsed="1" x14ac:dyDescent="0.25">
      <c r="A51" s="35"/>
      <c r="B51" s="11" t="str">
        <f>CONCATENATE("     ","Donations                                         ")</f>
        <v xml:space="preserve">     Donations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SUM(OSRRefE21_6x_0)</f>
        <v>0</v>
      </c>
      <c r="O51" s="1">
        <f>SUM(OSRRefE21_6x_1)</f>
        <v>0</v>
      </c>
      <c r="Q51" s="2">
        <f>SUM(OSRRefD20_6x)+IFERROR(SUM(OSRRefE20_6x),0)</f>
        <v>0</v>
      </c>
    </row>
    <row r="52" spans="1:17" s="34" customFormat="1" hidden="1" outlineLevel="1" x14ac:dyDescent="0.25">
      <c r="A52" s="35"/>
      <c r="B52" s="10" t="str">
        <f>CONCATENATE("          ","6399", " - ","DONATION-ON CAMPUS")</f>
        <v xml:space="preserve">          6399 - DONATION-ON CAMPUS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/>
      <c r="P52" s="9"/>
      <c r="Q52" s="2">
        <f>SUM(OSRRefD21_6_0x)+IFERROR(SUM(OSRRefE21_6_0x),0)</f>
        <v>0</v>
      </c>
    </row>
    <row r="53" spans="1:17" s="34" customFormat="1" collapsed="1" x14ac:dyDescent="0.25">
      <c r="A53" s="35"/>
      <c r="B53" s="11" t="str">
        <f>CONCATENATE("     ","Employees' Appreciation                           ")</f>
        <v xml:space="preserve">     Employees' Appreciation                           </v>
      </c>
      <c r="C53" s="11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0</v>
      </c>
      <c r="N53" s="1">
        <f>SUM(OSRRefE21_7x_0)</f>
        <v>0</v>
      </c>
      <c r="O53" s="1">
        <f>SUM(OSRRefE21_7x_1)</f>
        <v>0</v>
      </c>
      <c r="Q53" s="2">
        <f>SUM(OSRRefD20_7x)+IFERROR(SUM(OSRRefE20_7x),0)</f>
        <v>0</v>
      </c>
    </row>
    <row r="54" spans="1:17" s="34" customFormat="1" hidden="1" outlineLevel="1" x14ac:dyDescent="0.25">
      <c r="A54" s="35"/>
      <c r="B54" s="10" t="str">
        <f>CONCATENATE("          ","6277", " - ","EMPLOYEE APPRECIATION")</f>
        <v xml:space="preserve">          6277 - EMPLOYEE APPRECIATION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4" customFormat="1" collapsed="1" x14ac:dyDescent="0.25">
      <c r="A55" s="35"/>
      <c r="B55" s="11" t="str">
        <f>CONCATENATE("     ","Equipment Rental                                  ")</f>
        <v xml:space="preserve">     Equipment Rental                                  </v>
      </c>
      <c r="C55" s="11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SUM(OSRRefE21_8x_0)</f>
        <v>0</v>
      </c>
      <c r="O55" s="1">
        <f>SUM(OSRRefE21_8x_1)</f>
        <v>0</v>
      </c>
      <c r="Q55" s="2">
        <f>SUM(OSRRefD20_8x)+IFERROR(SUM(OSRRefE20_8x),0)</f>
        <v>20</v>
      </c>
    </row>
    <row r="56" spans="1:17" s="34" customFormat="1" hidden="1" outlineLevel="1" x14ac:dyDescent="0.25">
      <c r="A56" s="35"/>
      <c r="B56" s="10" t="str">
        <f>CONCATENATE("          ","6351", " - ","EQUIPMENT RENTAL")</f>
        <v xml:space="preserve">          6351 - EQUIPMENT RENTAL</v>
      </c>
      <c r="C56" s="11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4" customFormat="1" collapsed="1" x14ac:dyDescent="0.25">
      <c r="A57" s="35"/>
      <c r="B57" s="11" t="str">
        <f>CONCATENATE("     ","General                                           ")</f>
        <v xml:space="preserve">     General                                           </v>
      </c>
      <c r="C57" s="11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SUM(OSRRefD21_9x_7)</f>
        <v>0</v>
      </c>
      <c r="L57" s="1">
        <f>SUM(OSRRefD21_9x_8)</f>
        <v>436.32</v>
      </c>
      <c r="M57" s="1">
        <f>SUM(OSRRefD21_9x_9)</f>
        <v>0</v>
      </c>
      <c r="N57" s="1">
        <f>SUM(OSRRefE21_9x_0)</f>
        <v>0</v>
      </c>
      <c r="O57" s="1">
        <f>SUM(OSRRefE21_9x_1)</f>
        <v>0</v>
      </c>
      <c r="Q57" s="2">
        <f>SUM(OSRRefD20_9x)+IFERROR(SUM(OSRRefE20_9x),0)</f>
        <v>1875.87</v>
      </c>
    </row>
    <row r="58" spans="1:17" s="34" customFormat="1" hidden="1" outlineLevel="1" x14ac:dyDescent="0.25">
      <c r="A58" s="35"/>
      <c r="B58" s="10" t="str">
        <f>CONCATENATE("          ","6279", " - ","GENERAL EXPENSE")</f>
        <v xml:space="preserve">          6279 - GENERAL EXPENSE</v>
      </c>
      <c r="C58" s="11"/>
      <c r="D58" s="2">
        <v>1439.55</v>
      </c>
      <c r="E58" s="2"/>
      <c r="F58" s="2"/>
      <c r="G58" s="2"/>
      <c r="H58" s="2"/>
      <c r="I58" s="2"/>
      <c r="J58" s="2"/>
      <c r="K58" s="2"/>
      <c r="L58" s="2">
        <v>436.32</v>
      </c>
      <c r="M58" s="2"/>
      <c r="N58" s="2"/>
      <c r="O58" s="2"/>
      <c r="P58" s="9"/>
      <c r="Q58" s="2">
        <f>SUM(OSRRefD21_9_0x)+IFERROR(SUM(OSRRefE21_9_0x),0)</f>
        <v>1875.87</v>
      </c>
    </row>
    <row r="59" spans="1:17" s="34" customFormat="1" collapsed="1" x14ac:dyDescent="0.25">
      <c r="A59" s="35"/>
      <c r="B59" s="11" t="str">
        <f>CONCATENATE("     ","Insurance                                         ")</f>
        <v xml:space="preserve">     Insurance                                         </v>
      </c>
      <c r="C59" s="11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SUM(OSRRefD21_10x_4)</f>
        <v>5.9</v>
      </c>
      <c r="I59" s="1">
        <f>SUM(OSRRefD21_10x_5)</f>
        <v>5.9</v>
      </c>
      <c r="J59" s="1">
        <f>SUM(OSRRefD21_10x_6)</f>
        <v>5.9</v>
      </c>
      <c r="K59" s="1">
        <f>SUM(OSRRefD21_10x_7)</f>
        <v>5.9</v>
      </c>
      <c r="L59" s="1">
        <f>SUM(OSRRefD21_10x_8)</f>
        <v>5.9</v>
      </c>
      <c r="M59" s="1">
        <f>SUM(OSRRefD21_10x_9)</f>
        <v>5.9</v>
      </c>
      <c r="N59" s="1">
        <f>SUM(OSRRefE21_10x_0)</f>
        <v>7</v>
      </c>
      <c r="O59" s="1">
        <f>SUM(OSRRefE21_10x_1)</f>
        <v>7</v>
      </c>
      <c r="Q59" s="2">
        <f>SUM(OSRRefD20_10x)+IFERROR(SUM(OSRRefE20_10x),0)</f>
        <v>73</v>
      </c>
    </row>
    <row r="60" spans="1:17" s="34" customFormat="1" hidden="1" outlineLevel="1" x14ac:dyDescent="0.25">
      <c r="A60" s="35"/>
      <c r="B60" s="10" t="str">
        <f>CONCATENATE("          ","6314", " - ","LIABILITY INSURANCE")</f>
        <v xml:space="preserve">          6314 - LIABILITY INSURANCE</v>
      </c>
      <c r="C60" s="11"/>
      <c r="D60" s="2">
        <v>5.9</v>
      </c>
      <c r="E60" s="2">
        <v>5.9</v>
      </c>
      <c r="F60" s="2">
        <v>5.9</v>
      </c>
      <c r="G60" s="2">
        <v>5.9</v>
      </c>
      <c r="H60" s="2">
        <v>5.9</v>
      </c>
      <c r="I60" s="2">
        <v>5.9</v>
      </c>
      <c r="J60" s="2">
        <v>5.9</v>
      </c>
      <c r="K60" s="2">
        <v>5.9</v>
      </c>
      <c r="L60" s="2">
        <v>5.9</v>
      </c>
      <c r="M60" s="2">
        <v>5.9</v>
      </c>
      <c r="N60" s="2">
        <v>7</v>
      </c>
      <c r="O60" s="2">
        <v>7</v>
      </c>
      <c r="P60" s="9"/>
      <c r="Q60" s="2">
        <f>SUM(OSRRefD21_10_0x)+IFERROR(SUM(OSRRefE21_10_0x),0)</f>
        <v>73</v>
      </c>
    </row>
    <row r="61" spans="1:17" s="34" customFormat="1" collapsed="1" x14ac:dyDescent="0.25">
      <c r="A61" s="35"/>
      <c r="B61" s="11" t="str">
        <f>CONCATENATE("     ","R/H Commissions                                   ")</f>
        <v xml:space="preserve">     R/H Commissions                                   </v>
      </c>
      <c r="C61" s="11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0</v>
      </c>
      <c r="J61" s="1">
        <f>SUM(OSRRefD21_11x_6)</f>
        <v>0</v>
      </c>
      <c r="K61" s="1">
        <f>SUM(OSRRefD21_11x_7)</f>
        <v>0</v>
      </c>
      <c r="L61" s="1">
        <f>SUM(OSRRefD21_11x_8)</f>
        <v>0</v>
      </c>
      <c r="M61" s="1">
        <f>SUM(OSRRefD21_11x_9)</f>
        <v>0</v>
      </c>
      <c r="N61" s="1">
        <f>SUM(OSRRefE21_11x_0)</f>
        <v>0</v>
      </c>
      <c r="O61" s="1">
        <f>SUM(OSRRefE21_11x_1)</f>
        <v>0</v>
      </c>
      <c r="Q61" s="2">
        <f>SUM(OSRRefD20_11x)+IFERROR(SUM(OSRRefE20_11x),0)</f>
        <v>0</v>
      </c>
    </row>
    <row r="62" spans="1:17" s="34" customFormat="1" hidden="1" outlineLevel="1" x14ac:dyDescent="0.25">
      <c r="A62" s="35"/>
      <c r="B62" s="10" t="str">
        <f>CONCATENATE("          ","6387", " - ","COMMISSION DUE HOUSING")</f>
        <v xml:space="preserve">          6387 - COMMISSION DUE HOUSING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4" customFormat="1" collapsed="1" x14ac:dyDescent="0.25">
      <c r="A63" s="35"/>
      <c r="B63" s="11" t="str">
        <f>CONCATENATE("     ","Repair and Maintenance                            ")</f>
        <v xml:space="preserve">     Repair and Maintenance                            </v>
      </c>
      <c r="C63" s="11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SUM(OSRRefD21_12x_4)</f>
        <v>0</v>
      </c>
      <c r="I63" s="1">
        <f>SUM(OSRRefD21_12x_5)</f>
        <v>72.319999999999993</v>
      </c>
      <c r="J63" s="1">
        <f>SUM(OSRRefD21_12x_6)</f>
        <v>0</v>
      </c>
      <c r="K63" s="1">
        <f>SUM(OSRRefD21_12x_7)</f>
        <v>0</v>
      </c>
      <c r="L63" s="1">
        <f>SUM(OSRRefD21_12x_8)</f>
        <v>72.319999999999993</v>
      </c>
      <c r="M63" s="1">
        <f>SUM(OSRRefD21_12x_9)</f>
        <v>0</v>
      </c>
      <c r="N63" s="1">
        <f>SUM(OSRRefE21_12x_0)</f>
        <v>0</v>
      </c>
      <c r="O63" s="1">
        <f>SUM(OSRRefE21_12x_1)</f>
        <v>0</v>
      </c>
      <c r="Q63" s="2">
        <f>SUM(OSRRefD20_12x)+IFERROR(SUM(OSRRefE20_12x),0)</f>
        <v>216.98999999999998</v>
      </c>
    </row>
    <row r="64" spans="1:17" s="34" customFormat="1" hidden="1" outlineLevel="1" x14ac:dyDescent="0.25">
      <c r="A64" s="35"/>
      <c r="B64" s="10" t="str">
        <f>CONCATENATE("          ","6373", " - ","MAINTENANCE CONTRACTS")</f>
        <v xml:space="preserve">          6373 - MAINTENANCE CONTRACTS</v>
      </c>
      <c r="C64" s="11"/>
      <c r="D64" s="2"/>
      <c r="E64" s="2"/>
      <c r="F64" s="2">
        <v>72.349999999999994</v>
      </c>
      <c r="G64" s="2"/>
      <c r="H64" s="2"/>
      <c r="I64" s="2">
        <v>72.319999999999993</v>
      </c>
      <c r="J64" s="2"/>
      <c r="K64" s="2"/>
      <c r="L64" s="2">
        <v>72.319999999999993</v>
      </c>
      <c r="M64" s="2"/>
      <c r="N64" s="2">
        <v>0</v>
      </c>
      <c r="O64" s="2">
        <v>0</v>
      </c>
      <c r="P64" s="9"/>
      <c r="Q64" s="2">
        <f>SUM(OSRRefD21_12_0x)+IFERROR(SUM(OSRRefE21_12_0x),0)</f>
        <v>216.98999999999998</v>
      </c>
    </row>
    <row r="65" spans="1:17" s="34" customFormat="1" collapsed="1" x14ac:dyDescent="0.25">
      <c r="A65" s="35"/>
      <c r="B65" s="11" t="str">
        <f>CONCATENATE("     ","Services                                          ")</f>
        <v xml:space="preserve">     Services                                          </v>
      </c>
      <c r="C65" s="11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SUM(OSRRefD21_13x_4)</f>
        <v>0</v>
      </c>
      <c r="I65" s="1">
        <f>SUM(OSRRefD21_13x_5)</f>
        <v>669.64</v>
      </c>
      <c r="J65" s="1">
        <f>SUM(OSRRefD21_13x_6)</f>
        <v>1937.15</v>
      </c>
      <c r="K65" s="1">
        <f>SUM(OSRRefD21_13x_7)</f>
        <v>0</v>
      </c>
      <c r="L65" s="1">
        <f>SUM(OSRRefD21_13x_8)</f>
        <v>1339.28</v>
      </c>
      <c r="M65" s="1">
        <f>SUM(OSRRefD21_13x_9)</f>
        <v>669.64</v>
      </c>
      <c r="N65" s="1">
        <f>SUM(OSRRefE21_13x_0)</f>
        <v>850</v>
      </c>
      <c r="O65" s="1">
        <f>SUM(OSRRefE21_13x_1)</f>
        <v>850</v>
      </c>
      <c r="Q65" s="2">
        <f>SUM(OSRRefD20_13x)+IFERROR(SUM(OSRRefE20_13x),0)</f>
        <v>8396.4</v>
      </c>
    </row>
    <row r="66" spans="1:17" s="34" customFormat="1" hidden="1" outlineLevel="1" x14ac:dyDescent="0.25">
      <c r="A66" s="35"/>
      <c r="B66" s="10" t="str">
        <f>CONCATENATE("          ","6282", " - ","JANITORIAL/EXTERMINATOR EXPENS")</f>
        <v xml:space="preserve">          6282 - JANITORIAL/EXTERMINATOR EXPENS</v>
      </c>
      <c r="C66" s="11"/>
      <c r="D66" s="2">
        <v>669.64</v>
      </c>
      <c r="E66" s="2">
        <v>71.77</v>
      </c>
      <c r="F66" s="2"/>
      <c r="G66" s="2">
        <v>1339.28</v>
      </c>
      <c r="H66" s="2"/>
      <c r="I66" s="2">
        <v>71.77</v>
      </c>
      <c r="J66" s="2">
        <v>1937.15</v>
      </c>
      <c r="K66" s="2"/>
      <c r="L66" s="2">
        <v>1339.28</v>
      </c>
      <c r="M66" s="2">
        <v>669.64</v>
      </c>
      <c r="N66" s="2">
        <v>850</v>
      </c>
      <c r="O66" s="2">
        <v>850</v>
      </c>
      <c r="P66" s="9"/>
      <c r="Q66" s="2">
        <f>SUM(OSRRefD21_13_0x)+IFERROR(SUM(OSRRefE21_13_0x),0)</f>
        <v>7798.5300000000007</v>
      </c>
    </row>
    <row r="67" spans="1:17" s="34" customFormat="1" hidden="1" outlineLevel="1" x14ac:dyDescent="0.25">
      <c r="A67" s="35"/>
      <c r="B67" s="10" t="str">
        <f>CONCATENATE("          ","6285", " - ","JANITORIAL SERVICES")</f>
        <v xml:space="preserve">          6285 - JANITORIAL SERVICES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4" customFormat="1" hidden="1" outlineLevel="1" x14ac:dyDescent="0.25">
      <c r="A68" s="35"/>
      <c r="B68" s="10" t="str">
        <f>CONCATENATE("          ","6286", " - ","LAUNDRY EXPENSE")</f>
        <v xml:space="preserve">          6286 - LAUNDRY EXPENSE</v>
      </c>
      <c r="C68" s="11"/>
      <c r="D68" s="2"/>
      <c r="E68" s="2"/>
      <c r="F68" s="2"/>
      <c r="G68" s="2"/>
      <c r="H68" s="2"/>
      <c r="I68" s="2">
        <v>597.87</v>
      </c>
      <c r="J68" s="2"/>
      <c r="K68" s="2"/>
      <c r="L68" s="2"/>
      <c r="M68" s="2"/>
      <c r="N68" s="2">
        <v>0</v>
      </c>
      <c r="O68" s="2">
        <v>0</v>
      </c>
      <c r="P68" s="9"/>
      <c r="Q68" s="2">
        <f>SUM(OSRRefD21_13_2x)+IFERROR(SUM(OSRRefE21_13_2x),0)</f>
        <v>597.87</v>
      </c>
    </row>
    <row r="69" spans="1:17" s="34" customFormat="1" collapsed="1" x14ac:dyDescent="0.25">
      <c r="A69" s="35"/>
      <c r="B69" s="11" t="str">
        <f>CONCATENATE("     ","Supplies                                          ")</f>
        <v xml:space="preserve">     Supplies                                          </v>
      </c>
      <c r="C69" s="11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SUM(OSRRefD21_14x_4)</f>
        <v>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SUM(OSRRefD21_14x_8)</f>
        <v>39.54</v>
      </c>
      <c r="M69" s="1">
        <f>SUM(OSRRefD21_14x_9)</f>
        <v>0</v>
      </c>
      <c r="N69" s="1">
        <f>SUM(OSRRefE21_14x_0)</f>
        <v>0</v>
      </c>
      <c r="O69" s="1">
        <f>SUM(OSRRefE21_14x_1)</f>
        <v>0</v>
      </c>
      <c r="Q69" s="2">
        <f>SUM(OSRRefD20_14x)+IFERROR(SUM(OSRRefE20_14x),0)</f>
        <v>96.699999999999989</v>
      </c>
    </row>
    <row r="70" spans="1:17" s="34" customFormat="1" hidden="1" outlineLevel="1" x14ac:dyDescent="0.25">
      <c r="A70" s="35"/>
      <c r="B70" s="10" t="str">
        <f>CONCATENATE("          ","6235", " - ","COVID-19 EXPENSES")</f>
        <v xml:space="preserve">          6235 - COVID-19 EXPENSES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>
        <v>0</v>
      </c>
      <c r="O70" s="2"/>
      <c r="P70" s="9"/>
      <c r="Q70" s="2">
        <f>SUM(OSRRefD21_14_0x)+IFERROR(SUM(OSRRefE21_14_0x),0)</f>
        <v>0</v>
      </c>
    </row>
    <row r="71" spans="1:17" s="34" customFormat="1" hidden="1" outlineLevel="1" x14ac:dyDescent="0.25">
      <c r="A71" s="35"/>
      <c r="B71" s="10" t="str">
        <f>CONCATENATE("          ","6237", " - ","JANITORIAL SUPPLIES")</f>
        <v xml:space="preserve">          6237 - JANITORIAL SUPPLIES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0</v>
      </c>
      <c r="O71" s="2"/>
      <c r="P71" s="9"/>
      <c r="Q71" s="2">
        <f>SUM(OSRRefD21_14_1x)+IFERROR(SUM(OSRRefE21_14_1x),0)</f>
        <v>0</v>
      </c>
    </row>
    <row r="72" spans="1:17" s="34" customFormat="1" hidden="1" outlineLevel="1" x14ac:dyDescent="0.25">
      <c r="A72" s="35"/>
      <c r="B72" s="10" t="str">
        <f>CONCATENATE("          ","6239", " - ","KITCHEN SUPPLIES")</f>
        <v xml:space="preserve">          6239 - KITCHEN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4" customFormat="1" hidden="1" outlineLevel="1" x14ac:dyDescent="0.25">
      <c r="A73" s="35"/>
      <c r="B73" s="10" t="str">
        <f>CONCATENATE("          ","6241", " - ","OFFICE EXPENSE")</f>
        <v xml:space="preserve">          6241 - OFFICE EXPENSE</v>
      </c>
      <c r="C73" s="11"/>
      <c r="D73" s="2"/>
      <c r="E73" s="2">
        <v>57.16</v>
      </c>
      <c r="F73" s="2"/>
      <c r="G73" s="2"/>
      <c r="H73" s="2"/>
      <c r="I73" s="2"/>
      <c r="J73" s="2"/>
      <c r="K73" s="2"/>
      <c r="L73" s="2">
        <v>39.54</v>
      </c>
      <c r="M73" s="2"/>
      <c r="N73" s="2">
        <v>0</v>
      </c>
      <c r="O73" s="2"/>
      <c r="P73" s="9"/>
      <c r="Q73" s="2">
        <f>SUM(OSRRefD21_14_3x)+IFERROR(SUM(OSRRefE21_14_3x),0)</f>
        <v>96.699999999999989</v>
      </c>
    </row>
    <row r="74" spans="1:17" s="34" customFormat="1" hidden="1" outlineLevel="1" x14ac:dyDescent="0.25">
      <c r="A74" s="35"/>
      <c r="B74" s="10" t="str">
        <f>CONCATENATE("          ","6248", " - ","UNIFORMS")</f>
        <v xml:space="preserve">          6248 - UNIFORMS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>
        <v>0</v>
      </c>
      <c r="O74" s="2">
        <v>0</v>
      </c>
      <c r="P74" s="9"/>
      <c r="Q74" s="2">
        <f>SUM(OSRRefD21_14_4x)+IFERROR(SUM(OSRRefE21_14_4x),0)</f>
        <v>0</v>
      </c>
    </row>
    <row r="75" spans="1:17" s="34" customFormat="1" collapsed="1" x14ac:dyDescent="0.25">
      <c r="A75" s="35"/>
      <c r="B75" s="11" t="str">
        <f>CONCATENATE("     ","Telephone/Data Lines                              ")</f>
        <v xml:space="preserve">     Telephone/Data Lines                              </v>
      </c>
      <c r="C75" s="11"/>
      <c r="D75" s="1">
        <f>SUM(OSRRefD21_15x_0)</f>
        <v>109</v>
      </c>
      <c r="E75" s="1">
        <f>SUM(OSRRefD21_15x_1)</f>
        <v>109</v>
      </c>
      <c r="F75" s="1">
        <f>SUM(OSRRefD21_15x_2)</f>
        <v>190</v>
      </c>
      <c r="G75" s="1">
        <f>SUM(OSRRefD21_15x_3)</f>
        <v>71.63</v>
      </c>
      <c r="H75" s="1">
        <f>SUM(OSRRefD21_15x_4)</f>
        <v>50</v>
      </c>
      <c r="I75" s="1">
        <f>SUM(OSRRefD21_15x_5)</f>
        <v>50</v>
      </c>
      <c r="J75" s="1">
        <f>SUM(OSRRefD21_15x_6)</f>
        <v>0</v>
      </c>
      <c r="K75" s="1">
        <f>SUM(OSRRefD21_15x_7)</f>
        <v>0</v>
      </c>
      <c r="L75" s="1">
        <f>SUM(OSRRefD21_15x_8)</f>
        <v>0</v>
      </c>
      <c r="M75" s="1">
        <f>SUM(OSRRefD21_15x_9)</f>
        <v>0</v>
      </c>
      <c r="N75" s="1">
        <f>SUM(OSRRefE21_15x_0)</f>
        <v>140</v>
      </c>
      <c r="O75" s="1">
        <f>SUM(OSRRefE21_15x_1)</f>
        <v>140</v>
      </c>
      <c r="Q75" s="2">
        <f>SUM(OSRRefD20_15x)+IFERROR(SUM(OSRRefE20_15x),0)</f>
        <v>859.63</v>
      </c>
    </row>
    <row r="76" spans="1:17" s="34" customFormat="1" hidden="1" outlineLevel="1" x14ac:dyDescent="0.25">
      <c r="A76" s="35"/>
      <c r="B76" s="10" t="str">
        <f>CONCATENATE("          ","6303", " - ","DATA PHONE LINES")</f>
        <v xml:space="preserve">          6303 - DATA PHONE LINES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>
        <v>140</v>
      </c>
      <c r="O76" s="2">
        <v>140</v>
      </c>
      <c r="P76" s="9"/>
      <c r="Q76" s="2">
        <f>SUM(OSRRefD21_15_0x)+IFERROR(SUM(OSRRefE21_15_0x),0)</f>
        <v>280</v>
      </c>
    </row>
    <row r="77" spans="1:17" s="34" customFormat="1" hidden="1" outlineLevel="1" x14ac:dyDescent="0.25">
      <c r="A77" s="35"/>
      <c r="B77" s="10" t="str">
        <f>CONCATENATE("          ","6309", " - ","TELEPHONE")</f>
        <v xml:space="preserve">          6309 - TELEPHONE</v>
      </c>
      <c r="C77" s="11"/>
      <c r="D77" s="2">
        <v>109</v>
      </c>
      <c r="E77" s="2">
        <v>109</v>
      </c>
      <c r="F77" s="2">
        <v>190</v>
      </c>
      <c r="G77" s="2">
        <v>71.63</v>
      </c>
      <c r="H77" s="2">
        <v>50</v>
      </c>
      <c r="I77" s="2">
        <v>50</v>
      </c>
      <c r="J77" s="2">
        <v>0</v>
      </c>
      <c r="K77" s="2">
        <v>0</v>
      </c>
      <c r="L77" s="2">
        <v>0</v>
      </c>
      <c r="M77" s="2">
        <v>0</v>
      </c>
      <c r="N77" s="2"/>
      <c r="O77" s="2"/>
      <c r="P77" s="9"/>
      <c r="Q77" s="2">
        <f>SUM(OSRRefD21_15_1x)+IFERROR(SUM(OSRRefE21_15_1x),0)</f>
        <v>579.63</v>
      </c>
    </row>
    <row r="78" spans="1:17" s="34" customFormat="1" collapsed="1" x14ac:dyDescent="0.25">
      <c r="A78" s="35"/>
      <c r="B78" s="11" t="str">
        <f>CONCATENATE("     ","Training                                          ")</f>
        <v xml:space="preserve">     Training                                          </v>
      </c>
      <c r="C78" s="11"/>
      <c r="D78" s="1">
        <f>SUM(OSRRefD21_16x_0)</f>
        <v>0</v>
      </c>
      <c r="E78" s="1">
        <f>SUM(OSRRefD21_16x_1)</f>
        <v>0</v>
      </c>
      <c r="F78" s="1">
        <f>SUM(OSRRefD21_16x_2)</f>
        <v>0</v>
      </c>
      <c r="G78" s="1">
        <f>SUM(OSRRefD21_16x_3)</f>
        <v>0</v>
      </c>
      <c r="H78" s="1">
        <f>SUM(OSRRefD21_16x_4)</f>
        <v>0</v>
      </c>
      <c r="I78" s="1">
        <f>SUM(OSRRefD21_16x_5)</f>
        <v>0</v>
      </c>
      <c r="J78" s="1">
        <f>SUM(OSRRefD21_16x_6)</f>
        <v>0</v>
      </c>
      <c r="K78" s="1">
        <f>SUM(OSRRefD21_16x_7)</f>
        <v>0</v>
      </c>
      <c r="L78" s="1">
        <f>SUM(OSRRefD21_16x_8)</f>
        <v>0</v>
      </c>
      <c r="M78" s="1">
        <f>SUM(OSRRefD21_16x_9)</f>
        <v>0</v>
      </c>
      <c r="N78" s="1">
        <f>SUM(OSRRefE21_16x_0)</f>
        <v>0</v>
      </c>
      <c r="O78" s="1">
        <f>SUM(OSRRefE21_16x_1)</f>
        <v>0</v>
      </c>
      <c r="Q78" s="2">
        <f>SUM(OSRRefD20_16x)+IFERROR(SUM(OSRRefE20_16x),0)</f>
        <v>0</v>
      </c>
    </row>
    <row r="79" spans="1:17" s="34" customFormat="1" hidden="1" outlineLevel="1" x14ac:dyDescent="0.25">
      <c r="A79" s="35"/>
      <c r="B79" s="10" t="str">
        <f>CONCATENATE("          ","6376", " - ","TRAINING")</f>
        <v xml:space="preserve">          6376 - TRAINING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>
        <v>0</v>
      </c>
      <c r="O79" s="2">
        <v>0</v>
      </c>
      <c r="P79" s="9"/>
      <c r="Q79" s="2">
        <f>SUM(OSRRefD21_16_0x)+IFERROR(SUM(OSRRefE21_16_0x),0)</f>
        <v>0</v>
      </c>
    </row>
    <row r="80" spans="1:17" s="30" customFormat="1" x14ac:dyDescent="0.2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25">
      <c r="A81" s="23"/>
      <c r="B81" s="16" t="s">
        <v>291</v>
      </c>
      <c r="C81" s="22"/>
      <c r="D81" s="3">
        <f t="shared" ref="D81:M81" si="5">0</f>
        <v>0</v>
      </c>
      <c r="E81" s="3">
        <f t="shared" si="5"/>
        <v>0</v>
      </c>
      <c r="F81" s="3">
        <f t="shared" si="5"/>
        <v>0</v>
      </c>
      <c r="G81" s="3">
        <f t="shared" si="5"/>
        <v>0</v>
      </c>
      <c r="H81" s="3">
        <f t="shared" si="5"/>
        <v>0</v>
      </c>
      <c r="I81" s="3">
        <f t="shared" si="5"/>
        <v>0</v>
      </c>
      <c r="J81" s="3">
        <f t="shared" si="5"/>
        <v>0</v>
      </c>
      <c r="K81" s="3">
        <f t="shared" si="5"/>
        <v>0</v>
      </c>
      <c r="L81" s="3">
        <f t="shared" si="5"/>
        <v>0</v>
      </c>
      <c r="M81" s="3">
        <f t="shared" si="5"/>
        <v>0</v>
      </c>
      <c r="N81" s="3"/>
      <c r="O81" s="3"/>
      <c r="Q81" s="2">
        <f>SUM(OSRRefD23_0x)+IFERROR(SUM(OSRRefE23_0x),0)</f>
        <v>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6"/>
      <c r="B83" s="17" t="s">
        <v>274</v>
      </c>
      <c r="C83" s="17"/>
      <c r="D83" s="8">
        <f t="shared" ref="D83:O83" si="6">IFERROR(+D17-D20+D81, 0)</f>
        <v>-40360.14</v>
      </c>
      <c r="E83" s="8">
        <f t="shared" si="6"/>
        <v>-38261.779999999992</v>
      </c>
      <c r="F83" s="8">
        <f t="shared" si="6"/>
        <v>-28479.559999999998</v>
      </c>
      <c r="G83" s="8">
        <f t="shared" si="6"/>
        <v>-62396.42</v>
      </c>
      <c r="H83" s="8">
        <f t="shared" si="6"/>
        <v>-41541.899999999994</v>
      </c>
      <c r="I83" s="8">
        <f t="shared" si="6"/>
        <v>-37830.829999999994</v>
      </c>
      <c r="J83" s="8">
        <f t="shared" si="6"/>
        <v>-41216.370000000003</v>
      </c>
      <c r="K83" s="8">
        <f t="shared" si="6"/>
        <v>-37497.520000000004</v>
      </c>
      <c r="L83" s="8">
        <f t="shared" si="6"/>
        <v>-41679.39</v>
      </c>
      <c r="M83" s="8">
        <f t="shared" si="6"/>
        <v>-41903.239999999991</v>
      </c>
      <c r="N83" s="8">
        <f t="shared" si="6"/>
        <v>-51990.440795587667</v>
      </c>
      <c r="O83" s="8">
        <f t="shared" si="6"/>
        <v>-51981.440795587667</v>
      </c>
      <c r="Q83" s="8">
        <f>IFERROR(+Q17-Q20+Q81, 0)</f>
        <v>-515139.03159117536</v>
      </c>
    </row>
    <row r="84" spans="1:17" s="6" customFormat="1" x14ac:dyDescent="0.25">
      <c r="B84" s="16"/>
      <c r="C84" s="16"/>
      <c r="D84" s="4">
        <f t="shared" ref="D84:O84" si="7">IFERROR(D83/D10, 0)</f>
        <v>0</v>
      </c>
      <c r="E84" s="4">
        <f t="shared" si="7"/>
        <v>0</v>
      </c>
      <c r="F84" s="4">
        <f t="shared" si="7"/>
        <v>-2.2701685833466851</v>
      </c>
      <c r="G84" s="4">
        <f t="shared" si="7"/>
        <v>4.9737563500736943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2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25"/>
      <c r="B86" s="6" t="s">
        <v>125</v>
      </c>
      <c r="C86" s="6"/>
      <c r="D86" s="3"/>
      <c r="E86" s="3"/>
      <c r="F86" s="3">
        <v>2324.04</v>
      </c>
      <c r="G86" s="3">
        <v>-2324.04</v>
      </c>
      <c r="H86" s="3"/>
      <c r="I86" s="3"/>
      <c r="J86" s="3"/>
      <c r="K86" s="3"/>
      <c r="L86" s="3"/>
      <c r="M86" s="3"/>
      <c r="N86" s="3"/>
      <c r="O86" s="3"/>
      <c r="Q86" s="2">
        <f>SUM(OSRRefD28_0x)+IFERROR(SUM(OSRRefE28_0x),0)</f>
        <v>0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.75" thickBot="1" x14ac:dyDescent="0.3">
      <c r="A88" s="6"/>
      <c r="B88" s="17" t="s">
        <v>124</v>
      </c>
      <c r="C88" s="17"/>
      <c r="D88" s="7">
        <f t="shared" ref="D88:O88" si="8">IFERROR(+D83-D86, 0)</f>
        <v>-40360.14</v>
      </c>
      <c r="E88" s="7">
        <f t="shared" si="8"/>
        <v>-38261.779999999992</v>
      </c>
      <c r="F88" s="7">
        <f t="shared" si="8"/>
        <v>-30803.599999999999</v>
      </c>
      <c r="G88" s="7">
        <f t="shared" si="8"/>
        <v>-60072.38</v>
      </c>
      <c r="H88" s="7">
        <f t="shared" si="8"/>
        <v>-41541.899999999994</v>
      </c>
      <c r="I88" s="7">
        <f t="shared" si="8"/>
        <v>-37830.829999999994</v>
      </c>
      <c r="J88" s="7">
        <f t="shared" si="8"/>
        <v>-41216.370000000003</v>
      </c>
      <c r="K88" s="7">
        <f t="shared" si="8"/>
        <v>-37497.520000000004</v>
      </c>
      <c r="L88" s="7">
        <f t="shared" si="8"/>
        <v>-41679.39</v>
      </c>
      <c r="M88" s="7">
        <f t="shared" si="8"/>
        <v>-41903.239999999991</v>
      </c>
      <c r="N88" s="7">
        <f t="shared" si="8"/>
        <v>-51990.440795587667</v>
      </c>
      <c r="O88" s="7">
        <f t="shared" si="8"/>
        <v>-51981.440795587667</v>
      </c>
      <c r="Q88" s="7">
        <f>IFERROR(+Q83-Q86, 0)</f>
        <v>-515139.03159117536</v>
      </c>
    </row>
    <row r="89" spans="1:17" ht="15.75" thickTop="1" x14ac:dyDescent="0.25">
      <c r="A89" s="5"/>
      <c r="B89" s="5"/>
      <c r="C89" s="5"/>
      <c r="D89" s="4">
        <f t="shared" ref="D89:O89" si="9">IFERROR(D88/D10, 0)</f>
        <v>0</v>
      </c>
      <c r="E89" s="4">
        <f t="shared" si="9"/>
        <v>0</v>
      </c>
      <c r="F89" s="4">
        <f t="shared" si="9"/>
        <v>-2.4554229410137638</v>
      </c>
      <c r="G89" s="4">
        <f t="shared" si="9"/>
        <v>4.7885019924066157</v>
      </c>
      <c r="H89" s="4">
        <f t="shared" si="9"/>
        <v>0</v>
      </c>
      <c r="I89" s="4">
        <f t="shared" si="9"/>
        <v>0</v>
      </c>
      <c r="J89" s="4">
        <f t="shared" si="9"/>
        <v>0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0</v>
      </c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292</v>
      </c>
      <c r="C92" s="17"/>
      <c r="D92" s="7">
        <f t="shared" ref="D92:O92" si="10">IFERROR(SUM(D88:D91), 0)</f>
        <v>-40360.14</v>
      </c>
      <c r="E92" s="7">
        <f t="shared" si="10"/>
        <v>-38261.779999999992</v>
      </c>
      <c r="F92" s="7">
        <f t="shared" si="10"/>
        <v>-30806.055422941012</v>
      </c>
      <c r="G92" s="7">
        <f t="shared" si="10"/>
        <v>-60067.59149800759</v>
      </c>
      <c r="H92" s="7">
        <f t="shared" si="10"/>
        <v>-41541.899999999994</v>
      </c>
      <c r="I92" s="7">
        <f t="shared" si="10"/>
        <v>-37830.829999999994</v>
      </c>
      <c r="J92" s="7">
        <f t="shared" si="10"/>
        <v>-41216.370000000003</v>
      </c>
      <c r="K92" s="7">
        <f t="shared" si="10"/>
        <v>-37497.520000000004</v>
      </c>
      <c r="L92" s="7">
        <f t="shared" si="10"/>
        <v>-41679.39</v>
      </c>
      <c r="M92" s="7">
        <f t="shared" si="10"/>
        <v>-41903.239999999991</v>
      </c>
      <c r="N92" s="7">
        <f t="shared" si="10"/>
        <v>-51990.440795587667</v>
      </c>
      <c r="O92" s="7">
        <f t="shared" si="10"/>
        <v>-51981.440795587667</v>
      </c>
      <c r="Q92" s="7">
        <f>IFERROR(SUM(Q88:Q91), 0)</f>
        <v>-515139.03159117536</v>
      </c>
    </row>
    <row r="93" spans="1:17" ht="15.75" thickTop="1" x14ac:dyDescent="0.25">
      <c r="A93" s="5"/>
      <c r="C93" s="5"/>
      <c r="D93" s="4">
        <f t="shared" ref="D93:O93" si="11">IFERROR(D92/D10, 0)</f>
        <v>0</v>
      </c>
      <c r="E93" s="4">
        <f t="shared" si="11"/>
        <v>0</v>
      </c>
      <c r="F93" s="4">
        <f t="shared" si="11"/>
        <v>-2.4556186681956276</v>
      </c>
      <c r="G93" s="4">
        <f t="shared" si="11"/>
        <v>4.7881202903443487</v>
      </c>
      <c r="H93" s="4">
        <f t="shared" si="11"/>
        <v>0</v>
      </c>
      <c r="I93" s="4">
        <f t="shared" si="11"/>
        <v>0</v>
      </c>
      <c r="J93" s="4">
        <f t="shared" si="11"/>
        <v>0</v>
      </c>
      <c r="K93" s="4">
        <f t="shared" si="11"/>
        <v>0</v>
      </c>
      <c r="L93" s="4">
        <f t="shared" si="11"/>
        <v>0</v>
      </c>
      <c r="M93" s="4">
        <f t="shared" si="11"/>
        <v>0</v>
      </c>
      <c r="N93" s="4">
        <f t="shared" si="11"/>
        <v>0</v>
      </c>
      <c r="O93" s="4">
        <f t="shared" si="11"/>
        <v>0</v>
      </c>
      <c r="P93" s="18"/>
      <c r="Q93" s="4">
        <f>IFERROR(Q92/Q10, 0)</f>
        <v>0</v>
      </c>
    </row>
    <row r="94" spans="1:17" x14ac:dyDescent="0.25">
      <c r="A94" s="5"/>
      <c r="B94" s="27">
        <v>44330.012769791669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25">
      <c r="A95" s="5"/>
      <c r="B95" s="31" t="s">
        <v>54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25">
      <c r="A96" s="5"/>
      <c r="B96" s="26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4:17" x14ac:dyDescent="0.25"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">
        <v>104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SUM(OSRRefE11x_0)</f>
        <v>33686</v>
      </c>
      <c r="O10" s="3">
        <f>SUM(OSRRefE11x_1)</f>
        <v>44084</v>
      </c>
      <c r="P10" s="24"/>
      <c r="Q10" s="3">
        <f>SUM(OSRRefG11x)</f>
        <v>555323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f>--33674</f>
        <v>33674</v>
      </c>
      <c r="N12" s="2">
        <v>33686</v>
      </c>
      <c r="O12" s="2">
        <v>42841</v>
      </c>
      <c r="Q12" s="2">
        <f>SUM(OSRRefD11_1x)+IFERROR(SUM(OSRRefE11_1x),0)</f>
        <v>554080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3"/>
      <c r="B14" s="16" t="s">
        <v>217</v>
      </c>
      <c r="C14" s="22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2">IFERROR(+D10-D14, 0)</f>
        <v>20971</v>
      </c>
      <c r="E16" s="8">
        <f t="shared" si="2"/>
        <v>66861</v>
      </c>
      <c r="F16" s="8">
        <f t="shared" si="2"/>
        <v>30210</v>
      </c>
      <c r="G16" s="8">
        <f t="shared" si="2"/>
        <v>151563</v>
      </c>
      <c r="H16" s="8">
        <f t="shared" si="2"/>
        <v>52842</v>
      </c>
      <c r="I16" s="8">
        <f t="shared" si="2"/>
        <v>13225</v>
      </c>
      <c r="J16" s="8">
        <f t="shared" si="2"/>
        <v>33984</v>
      </c>
      <c r="K16" s="8">
        <f t="shared" si="2"/>
        <v>22598</v>
      </c>
      <c r="L16" s="8">
        <f t="shared" si="2"/>
        <v>51625</v>
      </c>
      <c r="M16" s="8">
        <f t="shared" si="2"/>
        <v>33674</v>
      </c>
      <c r="N16" s="8">
        <f t="shared" si="2"/>
        <v>33686</v>
      </c>
      <c r="O16" s="8">
        <f t="shared" si="2"/>
        <v>44084</v>
      </c>
      <c r="Q16" s="8">
        <f>IFERROR(+Q10-Q14, 0)</f>
        <v>555323</v>
      </c>
    </row>
    <row r="17" spans="1:17" s="6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21135.86</v>
      </c>
      <c r="E19" s="14">
        <f>SUM(OSRRefD20x_1)</f>
        <v>57099.96</v>
      </c>
      <c r="F19" s="14">
        <f>SUM(OSRRefD20x_2)</f>
        <v>25727.17</v>
      </c>
      <c r="G19" s="14">
        <f>SUM(OSRRefD20x_3)</f>
        <v>144748.99</v>
      </c>
      <c r="H19" s="14">
        <f>SUM(OSRRefD20x_4)</f>
        <v>16452.79</v>
      </c>
      <c r="I19" s="14">
        <f>SUM(OSRRefD20x_5)</f>
        <v>20530.420000000002</v>
      </c>
      <c r="J19" s="14">
        <f>SUM(OSRRefD20x_6)</f>
        <v>23351.099999999995</v>
      </c>
      <c r="K19" s="14">
        <f>SUM(OSRRefD20x_7)</f>
        <v>17834.469999999998</v>
      </c>
      <c r="L19" s="14">
        <f>SUM(OSRRefD20x_8)</f>
        <v>41256.259999999995</v>
      </c>
      <c r="M19" s="14">
        <f>SUM(OSRRefD20x_9)</f>
        <v>20096.279999999995</v>
      </c>
      <c r="N19" s="14">
        <f>SUM(OSRRefE20x_0)</f>
        <v>31696.217163815385</v>
      </c>
      <c r="O19" s="14">
        <f>SUM(OSRRefE20x_1)</f>
        <v>38922.340180865387</v>
      </c>
      <c r="Q19" s="14">
        <f>SUM(OSRRefG20x)</f>
        <v>458851.85734468082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SUM(OSRRefD21_0x_9)</f>
        <v>4442.8100000000004</v>
      </c>
      <c r="N20" s="1">
        <f>SUM(OSRRefE21_0x_0)</f>
        <v>3633.3500945846163</v>
      </c>
      <c r="O20" s="1">
        <f>SUM(OSRRefE21_0x_1)</f>
        <v>4946.0766616346173</v>
      </c>
      <c r="Q20" s="2">
        <f>SUM(OSRRefD20_0x)+IFERROR(SUM(OSRRefE20_0x),0)</f>
        <v>51525.206756219231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1265.6400000000001</v>
      </c>
      <c r="N21" s="2">
        <v>726.12499943076898</v>
      </c>
      <c r="O21" s="2">
        <v>1727.33140298077</v>
      </c>
      <c r="P21" s="9"/>
      <c r="Q21" s="2">
        <f>SUM(OSRRefD21_0_0x)+IFERROR(SUM(OSRRefE21_0_0x),0)</f>
        <v>12800.74640241154</v>
      </c>
    </row>
    <row r="22" spans="1:17" s="34" customFormat="1" hidden="1" outlineLevel="1" x14ac:dyDescent="0.25">
      <c r="A22" s="35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14.14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1504.5525640384619</v>
      </c>
    </row>
    <row r="23" spans="1:17" s="34" customFormat="1" hidden="1" outlineLevel="1" x14ac:dyDescent="0.25">
      <c r="A23" s="35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1207.95</v>
      </c>
      <c r="N23" s="2">
        <v>1025</v>
      </c>
      <c r="O23" s="2">
        <v>1025</v>
      </c>
      <c r="P23" s="9"/>
      <c r="Q23" s="2">
        <f>SUM(OSRRefD21_0_2x)+IFERROR(SUM(OSRRefE21_0_2x),0)</f>
        <v>14284.800000000003</v>
      </c>
    </row>
    <row r="24" spans="1:17" s="34" customFormat="1" hidden="1" outlineLevel="1" x14ac:dyDescent="0.25">
      <c r="A24" s="35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11.14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459.63700900000003</v>
      </c>
    </row>
    <row r="25" spans="1:17" s="34" customFormat="1" hidden="1" outlineLevel="1" x14ac:dyDescent="0.25">
      <c r="A25" s="35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640.35</v>
      </c>
      <c r="N25" s="2">
        <v>560.123953846154</v>
      </c>
      <c r="O25" s="2">
        <v>560.123953846154</v>
      </c>
      <c r="P25" s="9"/>
      <c r="Q25" s="2">
        <f>SUM(OSRRefD21_0_4x)+IFERROR(SUM(OSRRefE21_0_4x),0)</f>
        <v>8821.5279076923089</v>
      </c>
    </row>
    <row r="26" spans="1:17" s="34" customFormat="1" hidden="1" outlineLevel="1" x14ac:dyDescent="0.25">
      <c r="A26" s="35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>
        <v>74.67</v>
      </c>
      <c r="N27" s="2"/>
      <c r="O27" s="2"/>
      <c r="P27" s="9"/>
      <c r="Q27" s="2">
        <f>SUM(OSRRefD21_0_6x)+IFERROR(SUM(OSRRefE21_0_6x),0)</f>
        <v>889.44999999999993</v>
      </c>
    </row>
    <row r="28" spans="1:17" s="34" customFormat="1" hidden="1" outlineLevel="1" x14ac:dyDescent="0.25">
      <c r="A28" s="35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780.03</v>
      </c>
      <c r="N28" s="2">
        <v>195.39207692307701</v>
      </c>
      <c r="O28" s="2">
        <v>195.39207692307701</v>
      </c>
      <c r="P28" s="9"/>
      <c r="Q28" s="2">
        <f>SUM(OSRRefD21_0_7x)+IFERROR(SUM(OSRRefE21_0_7x),0)</f>
        <v>6111.0041538461546</v>
      </c>
    </row>
    <row r="29" spans="1:17" s="34" customFormat="1" hidden="1" outlineLevel="1" x14ac:dyDescent="0.25">
      <c r="A29" s="35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448.89</v>
      </c>
      <c r="N29" s="2">
        <v>429.10008461538501</v>
      </c>
      <c r="O29" s="2">
        <v>611.98863461538497</v>
      </c>
      <c r="P29" s="9"/>
      <c r="Q29" s="2">
        <f>SUM(OSRRefD21_0_8x)+IFERROR(SUM(OSRRefE21_0_8x),0)</f>
        <v>4332.9587192307699</v>
      </c>
    </row>
    <row r="30" spans="1:17" s="34" customFormat="1" hidden="1" outlineLevel="1" x14ac:dyDescent="0.25">
      <c r="A30" s="35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/>
      <c r="N30" s="2">
        <v>350</v>
      </c>
      <c r="O30" s="2">
        <v>350</v>
      </c>
      <c r="P30" s="9"/>
      <c r="Q30" s="2">
        <f>SUM(OSRRefD21_0_9x)+IFERROR(SUM(OSRRefE21_0_9x),0)</f>
        <v>2320.5299999999997</v>
      </c>
    </row>
    <row r="31" spans="1:17" s="34" customFormat="1" collapsed="1" x14ac:dyDescent="0.25">
      <c r="A31" s="35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SUM(OSRRefD21_1x_9)</f>
        <v>12186.69</v>
      </c>
      <c r="N31" s="1">
        <f>SUM(OSRRefE21_1x_0)</f>
        <v>15849.86706923077</v>
      </c>
      <c r="O31" s="1">
        <f>SUM(OSRRefE21_1x_1)</f>
        <v>21763.263519230772</v>
      </c>
      <c r="Q31" s="2">
        <f>SUM(OSRRefD20_1x)+IFERROR(SUM(OSRRefE20_1x),0)</f>
        <v>177947.54058846156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4416.3900000000003</v>
      </c>
      <c r="N32" s="2">
        <v>4019.23076923077</v>
      </c>
      <c r="O32" s="2">
        <v>4019.23076923077</v>
      </c>
      <c r="P32" s="9"/>
      <c r="Q32" s="2">
        <f>SUM(OSRRefD21_1_0x)+IFERROR(SUM(OSRRefE21_1_0x),0)</f>
        <v>51777.901538461541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2395.9899999999998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27844.05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2885.7887999999998</v>
      </c>
      <c r="O35" s="2">
        <v>5410.8540000000003</v>
      </c>
      <c r="P35" s="9"/>
      <c r="Q35" s="2">
        <f>SUM(OSRRefD21_1_3x)+IFERROR(SUM(OSRRefE21_1_3x),0)</f>
        <v>8296.6427999999996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6926.31</v>
      </c>
      <c r="N36" s="2">
        <v>0</v>
      </c>
      <c r="O36" s="2">
        <v>0</v>
      </c>
      <c r="P36" s="9"/>
      <c r="Q36" s="2">
        <f>SUM(OSRRefD21_1_4x)+IFERROR(SUM(OSRRefE21_1_4x),0)</f>
        <v>64897.63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-1552</v>
      </c>
      <c r="N38" s="2">
        <v>0</v>
      </c>
      <c r="O38" s="2">
        <v>10164.99375</v>
      </c>
      <c r="P38" s="9"/>
      <c r="Q38" s="2">
        <f>SUM(OSRRefD21_1_6x)+IFERROR(SUM(OSRRefE21_1_6x),0)</f>
        <v>14442.77375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/>
      <c r="N39" s="2">
        <v>6776.6625000000004</v>
      </c>
      <c r="O39" s="2">
        <v>0</v>
      </c>
      <c r="P39" s="9"/>
      <c r="Q39" s="2">
        <f>SUM(OSRRefD21_1_7x)+IFERROR(SUM(OSRRefE21_1_7x),0)</f>
        <v>10688.5425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SUM(OSRRefE21_2x_0)</f>
        <v>100</v>
      </c>
      <c r="O42" s="1">
        <f>SUM(OSRRefE21_2x_1)</f>
        <v>100</v>
      </c>
      <c r="Q42" s="2">
        <f>SUM(OSRRefD20_2x)+IFERROR(SUM(OSRRefE20_2x),0)</f>
        <v>200</v>
      </c>
    </row>
    <row r="43" spans="1:17" s="34" customFormat="1" hidden="1" outlineLevel="1" x14ac:dyDescent="0.25">
      <c r="A43" s="35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100</v>
      </c>
      <c r="O43" s="2">
        <v>100</v>
      </c>
      <c r="P43" s="9"/>
      <c r="Q43" s="2">
        <f>SUM(OSRRefD21_2_0x)+IFERROR(SUM(OSRRefE21_2_0x),0)</f>
        <v>200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SUM(OSRRefD21_3x_9)</f>
        <v>50.67</v>
      </c>
      <c r="N44" s="1">
        <f>SUM(OSRRefE21_3x_0)</f>
        <v>2000</v>
      </c>
      <c r="O44" s="1">
        <f>SUM(OSRRefE21_3x_1)</f>
        <v>2000</v>
      </c>
      <c r="Q44" s="2">
        <f>SUM(OSRRefD20_3x)+IFERROR(SUM(OSRRefE20_3x),0)</f>
        <v>4803.9400000000005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50.67</v>
      </c>
      <c r="N45" s="2">
        <v>2000</v>
      </c>
      <c r="O45" s="2">
        <v>2000</v>
      </c>
      <c r="P45" s="9"/>
      <c r="Q45" s="2">
        <f>SUM(OSRRefD21_3_0x)+IFERROR(SUM(OSRRefE21_3_0x),0)</f>
        <v>4803.9400000000005</v>
      </c>
    </row>
    <row r="46" spans="1:17" s="34" customFormat="1" collapsed="1" x14ac:dyDescent="0.25">
      <c r="A46" s="35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SUM(OSRRefD21_4x_9)</f>
        <v>0</v>
      </c>
      <c r="N46" s="1">
        <f>SUM(OSRRefE21_4x_0)</f>
        <v>20</v>
      </c>
      <c r="O46" s="1">
        <f>SUM(OSRRefE21_4x_1)</f>
        <v>20</v>
      </c>
      <c r="Q46" s="2">
        <f>SUM(OSRRefD20_4x)+IFERROR(SUM(OSRRefE20_4x),0)</f>
        <v>40</v>
      </c>
    </row>
    <row r="47" spans="1:17" s="34" customFormat="1" hidden="1" outlineLevel="1" x14ac:dyDescent="0.25">
      <c r="A47" s="35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20</v>
      </c>
      <c r="O47" s="2">
        <v>20</v>
      </c>
      <c r="P47" s="9"/>
      <c r="Q47" s="2">
        <f>SUM(OSRRefD21_4_0x)+IFERROR(SUM(OSRRefE21_4_0x),0)</f>
        <v>40</v>
      </c>
    </row>
    <row r="48" spans="1:17" s="34" customFormat="1" collapsed="1" x14ac:dyDescent="0.25">
      <c r="A48" s="35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SUM(OSRRefD21_5x_9)</f>
        <v>0</v>
      </c>
      <c r="N48" s="1">
        <f>SUM(OSRRefE21_5x_0)</f>
        <v>10</v>
      </c>
      <c r="O48" s="1">
        <f>SUM(OSRRefE21_5x_1)</f>
        <v>10</v>
      </c>
      <c r="Q48" s="2">
        <f>SUM(OSRRefD20_5x)+IFERROR(SUM(OSRRefE20_5x),0)</f>
        <v>22.12</v>
      </c>
    </row>
    <row r="49" spans="1:17" s="34" customFormat="1" hidden="1" outlineLevel="1" x14ac:dyDescent="0.25">
      <c r="A49" s="35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25">
      <c r="A50" s="35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/>
      <c r="N50" s="2">
        <v>10</v>
      </c>
      <c r="O50" s="2">
        <v>10</v>
      </c>
      <c r="P50" s="9"/>
      <c r="Q50" s="2">
        <f>SUM(OSRRefD21_5_1x)+IFERROR(SUM(OSRRefE21_5_1x),0)</f>
        <v>20.5</v>
      </c>
    </row>
    <row r="51" spans="1:17" s="34" customFormat="1" collapsed="1" x14ac:dyDescent="0.25">
      <c r="A51" s="35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SUM(OSRRefE21_6x_0)</f>
        <v>50</v>
      </c>
      <c r="O51" s="1">
        <f>SUM(OSRRefE21_6x_1)</f>
        <v>50</v>
      </c>
      <c r="Q51" s="2">
        <f>SUM(OSRRefD20_6x)+IFERROR(SUM(OSRRefE20_6x),0)</f>
        <v>100</v>
      </c>
    </row>
    <row r="52" spans="1:17" s="34" customFormat="1" hidden="1" outlineLevel="1" x14ac:dyDescent="0.25">
      <c r="A52" s="35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50</v>
      </c>
      <c r="O52" s="2">
        <v>50</v>
      </c>
      <c r="P52" s="9"/>
      <c r="Q52" s="2">
        <f>SUM(OSRRefD21_6_0x)+IFERROR(SUM(OSRRefE21_6_0x),0)</f>
        <v>100</v>
      </c>
    </row>
    <row r="53" spans="1:17" s="34" customFormat="1" collapsed="1" x14ac:dyDescent="0.25">
      <c r="A53" s="35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SUM(OSRRefD21_7x_9)</f>
        <v>29.01</v>
      </c>
      <c r="N53" s="1">
        <f>SUM(OSRRefE21_7x_0)</f>
        <v>33</v>
      </c>
      <c r="O53" s="1">
        <f>SUM(OSRRefE21_7x_1)</f>
        <v>33</v>
      </c>
      <c r="Q53" s="2">
        <f>SUM(OSRRefD20_7x)+IFERROR(SUM(OSRRefE20_7x),0)</f>
        <v>356.09999999999997</v>
      </c>
    </row>
    <row r="54" spans="1:17" s="34" customFormat="1" hidden="1" outlineLevel="1" x14ac:dyDescent="0.25">
      <c r="A54" s="35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29.01</v>
      </c>
      <c r="N54" s="2">
        <v>33</v>
      </c>
      <c r="O54" s="2">
        <v>33</v>
      </c>
      <c r="P54" s="9"/>
      <c r="Q54" s="2">
        <f>SUM(OSRRefD21_7_0x)+IFERROR(SUM(OSRRefE21_7_0x),0)</f>
        <v>356.09999999999997</v>
      </c>
    </row>
    <row r="55" spans="1:17" s="34" customFormat="1" collapsed="1" x14ac:dyDescent="0.25">
      <c r="A55" s="35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SUM(OSRRefD21_8x_9)</f>
        <v>800</v>
      </c>
      <c r="N55" s="1">
        <f>SUM(OSRRefE21_8x_0)</f>
        <v>800</v>
      </c>
      <c r="O55" s="1">
        <f>SUM(OSRRefE21_8x_1)</f>
        <v>800</v>
      </c>
      <c r="Q55" s="2">
        <f>SUM(OSRRefD20_8x)+IFERROR(SUM(OSRRefE20_8x),0)</f>
        <v>9600</v>
      </c>
    </row>
    <row r="56" spans="1:17" s="34" customFormat="1" hidden="1" outlineLevel="1" x14ac:dyDescent="0.25">
      <c r="A56" s="35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25">
      <c r="A57" s="35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SUM(OSRRefD21_9x_9)</f>
        <v>0</v>
      </c>
      <c r="N57" s="1">
        <f>SUM(OSRRefE21_9x_0)</f>
        <v>1500</v>
      </c>
      <c r="O57" s="1">
        <f>SUM(OSRRefE21_9x_1)</f>
        <v>1500</v>
      </c>
      <c r="Q57" s="2">
        <f>SUM(OSRRefD20_9x)+IFERROR(SUM(OSRRefE20_9x),0)</f>
        <v>152496.13</v>
      </c>
    </row>
    <row r="58" spans="1:17" s="34" customFormat="1" hidden="1" outlineLevel="1" x14ac:dyDescent="0.25">
      <c r="A58" s="35"/>
      <c r="B58" s="10" t="str">
        <f>CONCATENATE("          ","6372", " - ","COMPUTER HARDWARE MAINTENANCE")</f>
        <v xml:space="preserve">          6372 - COMPUTER HARDWARE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1500</v>
      </c>
      <c r="O58" s="2">
        <v>1500</v>
      </c>
      <c r="P58" s="9"/>
      <c r="Q58" s="2">
        <f>SUM(OSRRefD21_9_0x)+IFERROR(SUM(OSRRefE21_9_0x),0)</f>
        <v>3000</v>
      </c>
    </row>
    <row r="59" spans="1:17" s="34" customFormat="1" hidden="1" outlineLevel="1" x14ac:dyDescent="0.25">
      <c r="A59" s="35"/>
      <c r="B59" s="10" t="str">
        <f>CONCATENATE("          ","6373", " - ","MAINTENANCE CONTRACTS")</f>
        <v xml:space="preserve">          6373 - MAINTENANCE CONTRACTS</v>
      </c>
      <c r="C59" s="11"/>
      <c r="D59" s="2"/>
      <c r="E59" s="2"/>
      <c r="F59" s="2"/>
      <c r="G59" s="2">
        <v>117265.9</v>
      </c>
      <c r="H59" s="2"/>
      <c r="I59" s="2">
        <v>3087</v>
      </c>
      <c r="J59" s="2"/>
      <c r="K59" s="2"/>
      <c r="L59" s="2">
        <v>22581.23</v>
      </c>
      <c r="M59" s="2"/>
      <c r="N59" s="2"/>
      <c r="O59" s="2"/>
      <c r="P59" s="9"/>
      <c r="Q59" s="2">
        <f>SUM(OSRRefD21_9_1x)+IFERROR(SUM(OSRRefE21_9_1x),0)</f>
        <v>142934.13</v>
      </c>
    </row>
    <row r="60" spans="1:17" s="34" customFormat="1" hidden="1" outlineLevel="1" x14ac:dyDescent="0.25">
      <c r="A60" s="35"/>
      <c r="B60" s="10" t="str">
        <f>CONCATENATE("          ","6375", " - ","OUTSIDE REPAIRS &amp; MAINTENANCE")</f>
        <v xml:space="preserve">          6375 - OUTSIDE REPAIRS &amp; MAINTENANCE</v>
      </c>
      <c r="C60" s="11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25">
      <c r="A61" s="35"/>
      <c r="B61" s="11" t="str">
        <f>CONCATENATE("     ","Supplies                                          ")</f>
        <v xml:space="preserve">     Supplies                                          </v>
      </c>
      <c r="C61" s="11"/>
      <c r="D61" s="1">
        <f>SUM(OSRRefD21_10x_0)</f>
        <v>92.59</v>
      </c>
      <c r="E61" s="1">
        <f>SUM(OSRRefD21_10x_1)</f>
        <v>35090.559999999998</v>
      </c>
      <c r="F61" s="1">
        <f>SUM(OSRRefD21_10x_2)</f>
        <v>0</v>
      </c>
      <c r="G61" s="1">
        <f>SUM(OSRRefD21_10x_3)</f>
        <v>6088.55</v>
      </c>
      <c r="H61" s="1">
        <f>SUM(OSRRefD21_10x_4)</f>
        <v>0</v>
      </c>
      <c r="I61" s="1">
        <f>SUM(OSRRefD21_10x_5)</f>
        <v>0</v>
      </c>
      <c r="J61" s="1">
        <f>SUM(OSRRefD21_10x_6)</f>
        <v>774.92</v>
      </c>
      <c r="K61" s="1">
        <f>SUM(OSRRefD21_10x_7)</f>
        <v>11.55</v>
      </c>
      <c r="L61" s="1">
        <f>SUM(OSRRefD21_10x_8)</f>
        <v>3.72</v>
      </c>
      <c r="M61" s="1">
        <f>SUM(OSRRefD21_10x_9)</f>
        <v>2500</v>
      </c>
      <c r="N61" s="1">
        <f>SUM(OSRRefE21_10x_0)</f>
        <v>7000</v>
      </c>
      <c r="O61" s="1">
        <f>SUM(OSRRefE21_10x_1)</f>
        <v>7000</v>
      </c>
      <c r="Q61" s="2">
        <f>SUM(OSRRefD20_10x)+IFERROR(SUM(OSRRefE20_10x),0)</f>
        <v>58561.89</v>
      </c>
    </row>
    <row r="62" spans="1:17" s="34" customFormat="1" hidden="1" outlineLevel="1" x14ac:dyDescent="0.25">
      <c r="A62" s="35"/>
      <c r="B62" s="10" t="str">
        <f>CONCATENATE("          ","6234", " - ","EXPENDABLE SUPPLIES &amp; EQUIPMEN")</f>
        <v xml:space="preserve">          6234 - EXPENDABLE SUPPLIES &amp; EQUIPMEN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7000</v>
      </c>
      <c r="O62" s="2">
        <v>7000</v>
      </c>
      <c r="P62" s="9"/>
      <c r="Q62" s="2">
        <f>SUM(OSRRefD21_10_0x)+IFERROR(SUM(OSRRefE21_10_0x),0)</f>
        <v>14000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1"/>
      <c r="D63" s="2">
        <v>92.59</v>
      </c>
      <c r="E63" s="2">
        <v>35090.559999999998</v>
      </c>
      <c r="F63" s="2"/>
      <c r="G63" s="2">
        <v>6088.55</v>
      </c>
      <c r="H63" s="2"/>
      <c r="I63" s="2"/>
      <c r="J63" s="2">
        <v>774.92</v>
      </c>
      <c r="K63" s="2">
        <v>11.55</v>
      </c>
      <c r="L63" s="2">
        <v>3.72</v>
      </c>
      <c r="M63" s="2">
        <v>2500</v>
      </c>
      <c r="N63" s="2"/>
      <c r="O63" s="2"/>
      <c r="P63" s="9"/>
      <c r="Q63" s="2">
        <f>SUM(OSRRefD21_10_1x)+IFERROR(SUM(OSRRefE21_10_1x),0)</f>
        <v>44561.89</v>
      </c>
    </row>
    <row r="64" spans="1:17" s="34" customFormat="1" collapsed="1" x14ac:dyDescent="0.25">
      <c r="A64" s="35"/>
      <c r="B64" s="11" t="str">
        <f>CONCATENATE("     ","Telephone/Data Lines                              ")</f>
        <v xml:space="preserve">     Telephone/Data Lines                              </v>
      </c>
      <c r="C64" s="11"/>
      <c r="D64" s="1">
        <f>SUM(OSRRefD21_11x_0)</f>
        <v>154.93</v>
      </c>
      <c r="E64" s="1">
        <f>SUM(OSRRefD21_11x_1)</f>
        <v>137.15</v>
      </c>
      <c r="F64" s="1">
        <f>SUM(OSRRefD21_11x_2)</f>
        <v>750</v>
      </c>
      <c r="G64" s="1">
        <f>SUM(OSRRefD21_11x_3)</f>
        <v>136.65</v>
      </c>
      <c r="H64" s="1">
        <f>SUM(OSRRefD21_11x_4)</f>
        <v>136.94999999999999</v>
      </c>
      <c r="I64" s="1">
        <f>SUM(OSRRefD21_11x_5)</f>
        <v>136.15</v>
      </c>
      <c r="J64" s="1">
        <f>SUM(OSRRefD21_11x_6)</f>
        <v>86.55</v>
      </c>
      <c r="K64" s="1">
        <f>SUM(OSRRefD21_11x_7)</f>
        <v>86.45</v>
      </c>
      <c r="L64" s="1">
        <f>SUM(OSRRefD21_11x_8)</f>
        <v>87</v>
      </c>
      <c r="M64" s="1">
        <f>SUM(OSRRefD21_11x_9)</f>
        <v>87.1</v>
      </c>
      <c r="N64" s="1">
        <f>SUM(OSRRefE21_11x_0)</f>
        <v>700</v>
      </c>
      <c r="O64" s="1">
        <f>SUM(OSRRefE21_11x_1)</f>
        <v>700</v>
      </c>
      <c r="Q64" s="2">
        <f>SUM(OSRRefD20_11x)+IFERROR(SUM(OSRRefE20_11x),0)</f>
        <v>3198.9300000000003</v>
      </c>
    </row>
    <row r="65" spans="1:17" s="34" customFormat="1" hidden="1" outlineLevel="1" x14ac:dyDescent="0.25">
      <c r="A65" s="35"/>
      <c r="B65" s="10" t="str">
        <f>CONCATENATE("          ","6309", " - ","TELEPHONE")</f>
        <v xml:space="preserve">          6309 - TELEPHONE</v>
      </c>
      <c r="C65" s="11"/>
      <c r="D65" s="2">
        <v>154.93</v>
      </c>
      <c r="E65" s="2">
        <v>137.15</v>
      </c>
      <c r="F65" s="2">
        <v>750</v>
      </c>
      <c r="G65" s="2">
        <v>136.65</v>
      </c>
      <c r="H65" s="2">
        <v>136.94999999999999</v>
      </c>
      <c r="I65" s="2">
        <v>136.15</v>
      </c>
      <c r="J65" s="2">
        <v>86.55</v>
      </c>
      <c r="K65" s="2">
        <v>86.45</v>
      </c>
      <c r="L65" s="2">
        <v>87</v>
      </c>
      <c r="M65" s="2">
        <v>87.1</v>
      </c>
      <c r="N65" s="2">
        <v>700</v>
      </c>
      <c r="O65" s="2">
        <v>700</v>
      </c>
      <c r="P65" s="9"/>
      <c r="Q65" s="2">
        <f>SUM(OSRRefD21_11_0x)+IFERROR(SUM(OSRRefE21_11_0x),0)</f>
        <v>3198.9300000000003</v>
      </c>
    </row>
    <row r="66" spans="1:17" s="30" customFormat="1" x14ac:dyDescent="0.25">
      <c r="A66" s="21"/>
      <c r="B66" s="21"/>
      <c r="C66" s="2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Q66" s="1"/>
    </row>
    <row r="67" spans="1:17" s="9" customFormat="1" x14ac:dyDescent="0.25">
      <c r="A67" s="23"/>
      <c r="B67" s="16" t="s">
        <v>291</v>
      </c>
      <c r="C67" s="22"/>
      <c r="D67" s="3">
        <f>--165</f>
        <v>165</v>
      </c>
      <c r="E67" s="3">
        <f>--325</f>
        <v>325</v>
      </c>
      <c r="F67" s="3">
        <f>--260</f>
        <v>260</v>
      </c>
      <c r="G67" s="3">
        <f>--225.16</f>
        <v>225.16</v>
      </c>
      <c r="H67" s="3">
        <f>--145.04</f>
        <v>145.04</v>
      </c>
      <c r="I67" s="3">
        <f>--140</f>
        <v>140</v>
      </c>
      <c r="J67" s="3">
        <f>--237</f>
        <v>237</v>
      </c>
      <c r="K67" s="3">
        <f>--231.48</f>
        <v>231.48</v>
      </c>
      <c r="L67" s="3">
        <f>--210</f>
        <v>210</v>
      </c>
      <c r="M67" s="3">
        <f>--221.44</f>
        <v>221.44</v>
      </c>
      <c r="N67" s="3">
        <v>3000</v>
      </c>
      <c r="O67" s="3">
        <v>2500</v>
      </c>
      <c r="Q67" s="2">
        <f>SUM(OSRRefD23_0x)+IFERROR(SUM(OSRRefE23_0x),0)</f>
        <v>7660.12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25">
      <c r="A69" s="6"/>
      <c r="B69" s="17" t="s">
        <v>274</v>
      </c>
      <c r="C69" s="17"/>
      <c r="D69" s="8">
        <f t="shared" ref="D69:O69" si="4">IFERROR(+D16-D19+D67, 0)</f>
        <v>0.13999999999941792</v>
      </c>
      <c r="E69" s="8">
        <f t="shared" si="4"/>
        <v>10086.040000000001</v>
      </c>
      <c r="F69" s="8">
        <f t="shared" si="4"/>
        <v>4742.8300000000017</v>
      </c>
      <c r="G69" s="8">
        <f t="shared" si="4"/>
        <v>7039.1700000000092</v>
      </c>
      <c r="H69" s="8">
        <f t="shared" si="4"/>
        <v>36534.25</v>
      </c>
      <c r="I69" s="8">
        <f t="shared" si="4"/>
        <v>-7165.4200000000019</v>
      </c>
      <c r="J69" s="8">
        <f t="shared" si="4"/>
        <v>10869.900000000005</v>
      </c>
      <c r="K69" s="8">
        <f t="shared" si="4"/>
        <v>4995.010000000002</v>
      </c>
      <c r="L69" s="8">
        <f t="shared" si="4"/>
        <v>10578.740000000005</v>
      </c>
      <c r="M69" s="8">
        <f t="shared" si="4"/>
        <v>13799.160000000005</v>
      </c>
      <c r="N69" s="8">
        <f t="shared" si="4"/>
        <v>4989.782836184615</v>
      </c>
      <c r="O69" s="8">
        <f t="shared" si="4"/>
        <v>7661.6598191346129</v>
      </c>
      <c r="Q69" s="8">
        <f>IFERROR(+Q16-Q19+Q67, 0)</f>
        <v>104131.26265531918</v>
      </c>
    </row>
    <row r="70" spans="1:17" s="6" customFormat="1" x14ac:dyDescent="0.25">
      <c r="B70" s="16"/>
      <c r="C70" s="16"/>
      <c r="D70" s="4">
        <f t="shared" ref="D70:O70" si="5">IFERROR(D69/D10, 0)</f>
        <v>6.6758857469561736E-6</v>
      </c>
      <c r="E70" s="4">
        <f t="shared" si="5"/>
        <v>0.15085086971478143</v>
      </c>
      <c r="F70" s="4">
        <f t="shared" si="5"/>
        <v>0.15699536577292292</v>
      </c>
      <c r="G70" s="4">
        <f t="shared" si="5"/>
        <v>4.6443855030581405E-2</v>
      </c>
      <c r="H70" s="4">
        <f t="shared" si="5"/>
        <v>0.69138658642746298</v>
      </c>
      <c r="I70" s="4">
        <f t="shared" si="5"/>
        <v>-0.54180869565217404</v>
      </c>
      <c r="J70" s="4">
        <f t="shared" si="5"/>
        <v>0.31985346045197754</v>
      </c>
      <c r="K70" s="4">
        <f t="shared" si="5"/>
        <v>0.22103770245154447</v>
      </c>
      <c r="L70" s="4">
        <f t="shared" si="5"/>
        <v>0.20491506053268776</v>
      </c>
      <c r="M70" s="4">
        <f t="shared" si="5"/>
        <v>0.40978677911742012</v>
      </c>
      <c r="N70" s="4">
        <f t="shared" si="5"/>
        <v>0.148126308739079</v>
      </c>
      <c r="O70" s="4">
        <f t="shared" si="5"/>
        <v>0.17379683828905301</v>
      </c>
      <c r="P70" s="18"/>
      <c r="Q70" s="4">
        <f>IFERROR(Q69/Q10, 0)</f>
        <v>0.18751476646081502</v>
      </c>
    </row>
    <row r="71" spans="1:17" x14ac:dyDescent="0.25">
      <c r="A71" s="5"/>
      <c r="B71" s="6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25"/>
      <c r="B72" s="6" t="s">
        <v>125</v>
      </c>
      <c r="C72" s="6"/>
      <c r="D72" s="3">
        <v>10085.93</v>
      </c>
      <c r="E72" s="3">
        <v>4743.34</v>
      </c>
      <c r="F72" s="3">
        <v>7038.6</v>
      </c>
      <c r="G72" s="3">
        <v>36534.379999999997</v>
      </c>
      <c r="H72" s="3">
        <v>-7165.41</v>
      </c>
      <c r="I72" s="3">
        <v>10869.59</v>
      </c>
      <c r="J72" s="3">
        <v>4995.91</v>
      </c>
      <c r="K72" s="3">
        <v>10577.98</v>
      </c>
      <c r="L72" s="3">
        <v>13799.37</v>
      </c>
      <c r="M72" s="3">
        <v>8426.34</v>
      </c>
      <c r="N72" s="3">
        <v>16297</v>
      </c>
      <c r="O72" s="3">
        <v>20157</v>
      </c>
      <c r="Q72" s="2">
        <f>SUM(OSRRefD28_0x)+IFERROR(SUM(OSRRefE28_0x),0)</f>
        <v>136360.02999999997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ht="15.75" thickBot="1" x14ac:dyDescent="0.3">
      <c r="A74" s="6"/>
      <c r="B74" s="17" t="s">
        <v>124</v>
      </c>
      <c r="C74" s="17"/>
      <c r="D74" s="7">
        <f t="shared" ref="D74:O74" si="6">IFERROR(+D69-D72, 0)</f>
        <v>-10085.790000000001</v>
      </c>
      <c r="E74" s="7">
        <f t="shared" si="6"/>
        <v>5342.7000000000007</v>
      </c>
      <c r="F74" s="7">
        <f t="shared" si="6"/>
        <v>-2295.7699999999986</v>
      </c>
      <c r="G74" s="7">
        <f t="shared" si="6"/>
        <v>-29495.209999999988</v>
      </c>
      <c r="H74" s="7">
        <f t="shared" si="6"/>
        <v>43699.66</v>
      </c>
      <c r="I74" s="7">
        <f t="shared" si="6"/>
        <v>-18035.010000000002</v>
      </c>
      <c r="J74" s="7">
        <f t="shared" si="6"/>
        <v>5873.9900000000052</v>
      </c>
      <c r="K74" s="7">
        <f t="shared" si="6"/>
        <v>-5582.9699999999975</v>
      </c>
      <c r="L74" s="7">
        <f t="shared" si="6"/>
        <v>-3220.6299999999956</v>
      </c>
      <c r="M74" s="7">
        <f t="shared" si="6"/>
        <v>5372.8200000000052</v>
      </c>
      <c r="N74" s="7">
        <f t="shared" si="6"/>
        <v>-11307.217163815385</v>
      </c>
      <c r="O74" s="7">
        <f t="shared" si="6"/>
        <v>-12495.340180865387</v>
      </c>
      <c r="Q74" s="7">
        <f>IFERROR(+Q69-Q72, 0)</f>
        <v>-32228.767344680789</v>
      </c>
    </row>
    <row r="75" spans="1:17" ht="15.75" thickTop="1" x14ac:dyDescent="0.25">
      <c r="A75" s="5"/>
      <c r="B75" s="5"/>
      <c r="C75" s="5"/>
      <c r="D75" s="4">
        <f t="shared" ref="D75:O75" si="7">IFERROR(D74/D10, 0)</f>
        <v>-0.48093986934337901</v>
      </c>
      <c r="E75" s="4">
        <f t="shared" si="7"/>
        <v>7.9907569435096706E-2</v>
      </c>
      <c r="F75" s="4">
        <f t="shared" si="7"/>
        <v>-7.5993710691823854E-2</v>
      </c>
      <c r="G75" s="4">
        <f t="shared" si="7"/>
        <v>-0.1946069291317801</v>
      </c>
      <c r="H75" s="4">
        <f t="shared" si="7"/>
        <v>0.82698724499451204</v>
      </c>
      <c r="I75" s="4">
        <f t="shared" si="7"/>
        <v>-1.3637058601134218</v>
      </c>
      <c r="J75" s="4">
        <f t="shared" si="7"/>
        <v>0.17284575094161975</v>
      </c>
      <c r="K75" s="4">
        <f t="shared" si="7"/>
        <v>-0.2470559341534648</v>
      </c>
      <c r="L75" s="4">
        <f t="shared" si="7"/>
        <v>-6.2385084745762626E-2</v>
      </c>
      <c r="M75" s="4">
        <f t="shared" si="7"/>
        <v>0.1595539585436837</v>
      </c>
      <c r="N75" s="4">
        <f t="shared" si="7"/>
        <v>-0.33566517733822315</v>
      </c>
      <c r="O75" s="4">
        <f t="shared" si="7"/>
        <v>-0.28344388396845538</v>
      </c>
      <c r="P75" s="18"/>
      <c r="Q75" s="4">
        <f>IFERROR(Q74/Q10, 0)</f>
        <v>-5.803607512147127E-2</v>
      </c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.75" thickBot="1" x14ac:dyDescent="0.3">
      <c r="A78" s="6"/>
      <c r="B78" s="17" t="s">
        <v>292</v>
      </c>
      <c r="C78" s="17"/>
      <c r="D78" s="7">
        <f t="shared" ref="D78:O78" si="8">IFERROR(SUM(D74:D77), 0)</f>
        <v>-10086.270939869344</v>
      </c>
      <c r="E78" s="7">
        <f t="shared" si="8"/>
        <v>5342.7799075694356</v>
      </c>
      <c r="F78" s="7">
        <f t="shared" si="8"/>
        <v>-2295.8459937106904</v>
      </c>
      <c r="G78" s="7">
        <f t="shared" si="8"/>
        <v>-29495.404606929122</v>
      </c>
      <c r="H78" s="7">
        <f t="shared" si="8"/>
        <v>43700.486987245</v>
      </c>
      <c r="I78" s="7">
        <f t="shared" si="8"/>
        <v>-18036.373705860115</v>
      </c>
      <c r="J78" s="7">
        <f t="shared" si="8"/>
        <v>5874.1628457509469</v>
      </c>
      <c r="K78" s="7">
        <f t="shared" si="8"/>
        <v>-5583.2170559341512</v>
      </c>
      <c r="L78" s="7">
        <f t="shared" si="8"/>
        <v>-3220.6923850847415</v>
      </c>
      <c r="M78" s="7">
        <f t="shared" si="8"/>
        <v>5372.9795539585484</v>
      </c>
      <c r="N78" s="7">
        <f t="shared" si="8"/>
        <v>-11307.552828992722</v>
      </c>
      <c r="O78" s="7">
        <f t="shared" si="8"/>
        <v>-12495.623624749356</v>
      </c>
      <c r="Q78" s="7">
        <f>IFERROR(SUM(Q74:Q77), 0)</f>
        <v>-32228.825380755912</v>
      </c>
    </row>
    <row r="79" spans="1:17" ht="15.75" thickTop="1" x14ac:dyDescent="0.25">
      <c r="A79" s="5"/>
      <c r="C79" s="5"/>
      <c r="D79" s="4">
        <f t="shared" ref="D79:O79" si="9">IFERROR(D78/D10, 0)</f>
        <v>-0.48096280291208549</v>
      </c>
      <c r="E79" s="4">
        <f t="shared" si="9"/>
        <v>7.9908764564835047E-2</v>
      </c>
      <c r="F79" s="4">
        <f t="shared" si="9"/>
        <v>-7.5996226206907991E-2</v>
      </c>
      <c r="G79" s="4">
        <f t="shared" si="9"/>
        <v>-0.19460821313202512</v>
      </c>
      <c r="H79" s="4">
        <f t="shared" si="9"/>
        <v>0.82700289518271453</v>
      </c>
      <c r="I79" s="4">
        <f t="shared" si="9"/>
        <v>-1.3638089758684397</v>
      </c>
      <c r="J79" s="4">
        <f t="shared" si="9"/>
        <v>0.17285083703363191</v>
      </c>
      <c r="K79" s="4">
        <f t="shared" si="9"/>
        <v>-0.24706686679945797</v>
      </c>
      <c r="L79" s="4">
        <f t="shared" si="9"/>
        <v>-6.2386293173554312E-2</v>
      </c>
      <c r="M79" s="4">
        <f t="shared" si="9"/>
        <v>0.15955869673809314</v>
      </c>
      <c r="N79" s="4">
        <f t="shared" si="9"/>
        <v>-0.33567514186880965</v>
      </c>
      <c r="O79" s="4">
        <f t="shared" si="9"/>
        <v>-0.28345031360015777</v>
      </c>
      <c r="P79" s="18"/>
      <c r="Q79" s="4">
        <f>IFERROR(Q78/Q10, 0)</f>
        <v>-5.8036179630153825E-2</v>
      </c>
    </row>
    <row r="80" spans="1:17" x14ac:dyDescent="0.25">
      <c r="A80" s="5"/>
      <c r="B80" s="27">
        <v>44330.012703275461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  <row r="81" spans="1:17" x14ac:dyDescent="0.25">
      <c r="A81" s="5"/>
      <c r="B81" s="31" t="s">
        <v>54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6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8" t="s">
        <v>23</v>
      </c>
    </row>
    <row r="3" spans="1:18" x14ac:dyDescent="0.25">
      <c r="B3" s="28" t="s">
        <v>122</v>
      </c>
    </row>
    <row r="4" spans="1:18" x14ac:dyDescent="0.25">
      <c r="B4" s="33" t="s">
        <v>199</v>
      </c>
    </row>
    <row r="5" spans="1:18" x14ac:dyDescent="0.25">
      <c r="A5" s="15"/>
      <c r="B5" s="15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2" t="s">
        <v>77</v>
      </c>
      <c r="E7" s="12" t="s">
        <v>77</v>
      </c>
      <c r="F7" s="12" t="s">
        <v>77</v>
      </c>
      <c r="G7" s="12" t="s">
        <v>77</v>
      </c>
      <c r="H7" s="12" t="s">
        <v>77</v>
      </c>
      <c r="I7" s="12" t="s">
        <v>77</v>
      </c>
      <c r="J7" s="12" t="s">
        <v>77</v>
      </c>
      <c r="K7" s="12" t="s">
        <v>77</v>
      </c>
      <c r="L7" s="12" t="s">
        <v>77</v>
      </c>
      <c r="M7" s="12" t="s">
        <v>77</v>
      </c>
      <c r="N7" s="12" t="s">
        <v>290</v>
      </c>
      <c r="O7" s="12" t="s">
        <v>290</v>
      </c>
    </row>
    <row r="8" spans="1:18" x14ac:dyDescent="0.25">
      <c r="A8" s="6"/>
      <c r="B8" s="32"/>
      <c r="C8" s="6"/>
      <c r="D8" s="12" t="str">
        <f>CONCATENATE("Period ", 1)</f>
        <v>Period 1</v>
      </c>
      <c r="E8" s="12" t="str">
        <f>CONCATENATE("Period ", 2)</f>
        <v>Period 2</v>
      </c>
      <c r="F8" s="12" t="str">
        <f>CONCATENATE("Period ", 3)</f>
        <v>Period 3</v>
      </c>
      <c r="G8" s="12" t="str">
        <f>CONCATENATE("Period ", 4)</f>
        <v>Period 4</v>
      </c>
      <c r="H8" s="12" t="str">
        <f>CONCATENATE("Period ", 5)</f>
        <v>Period 5</v>
      </c>
      <c r="I8" s="12" t="str">
        <f>CONCATENATE("Period ", 6)</f>
        <v>Period 6</v>
      </c>
      <c r="J8" s="12" t="str">
        <f>CONCATENATE("Period ", 7)</f>
        <v>Period 7</v>
      </c>
      <c r="K8" s="12" t="str">
        <f>CONCATENATE("Period ", 8)</f>
        <v>Period 8</v>
      </c>
      <c r="L8" s="12" t="str">
        <f>CONCATENATE("Period ", 9)</f>
        <v>Period 9</v>
      </c>
      <c r="M8" s="12" t="str">
        <f>CONCATENATE("Period ", 10)</f>
        <v>Period 10</v>
      </c>
      <c r="N8" s="12" t="str">
        <f>CONCATENATE("Period ", 11)</f>
        <v>Period 11</v>
      </c>
      <c r="O8" s="12" t="str">
        <f>CONCATENATE("Period ", 12)</f>
        <v>Period 12</v>
      </c>
      <c r="Q8" s="12" t="s">
        <v>196</v>
      </c>
    </row>
    <row r="9" spans="1:18" ht="15.75" x14ac:dyDescent="0.25">
      <c r="A9" s="5"/>
      <c r="B9" s="2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SUM(OSRRefE11x_0)</f>
        <v>33686</v>
      </c>
      <c r="O10" s="3">
        <f>SUM(OSRRefE11x_1)</f>
        <v>44084</v>
      </c>
      <c r="P10" s="24"/>
      <c r="Q10" s="3">
        <f>SUM(OSRRefG11x)</f>
        <v>555323</v>
      </c>
      <c r="R10" s="24"/>
    </row>
    <row r="11" spans="1:18" s="9" customFormat="1" hidden="1" outlineLevel="1" x14ac:dyDescent="0.25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M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f>--33674</f>
        <v>33674</v>
      </c>
      <c r="N12" s="2">
        <v>33686</v>
      </c>
      <c r="O12" s="2">
        <v>42841</v>
      </c>
      <c r="Q12" s="2">
        <f>SUM(OSRRefD11_1x)+IFERROR(SUM(OSRRefE11_1x),0)</f>
        <v>554080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3"/>
      <c r="B14" s="16" t="s">
        <v>217</v>
      </c>
      <c r="C14" s="22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2">IFERROR(+D10-D14, 0)</f>
        <v>20971</v>
      </c>
      <c r="E16" s="8">
        <f t="shared" si="2"/>
        <v>66861</v>
      </c>
      <c r="F16" s="8">
        <f t="shared" si="2"/>
        <v>30210</v>
      </c>
      <c r="G16" s="8">
        <f t="shared" si="2"/>
        <v>151563</v>
      </c>
      <c r="H16" s="8">
        <f t="shared" si="2"/>
        <v>52842</v>
      </c>
      <c r="I16" s="8">
        <f t="shared" si="2"/>
        <v>13225</v>
      </c>
      <c r="J16" s="8">
        <f t="shared" si="2"/>
        <v>33984</v>
      </c>
      <c r="K16" s="8">
        <f t="shared" si="2"/>
        <v>22598</v>
      </c>
      <c r="L16" s="8">
        <f t="shared" si="2"/>
        <v>51625</v>
      </c>
      <c r="M16" s="8">
        <f t="shared" si="2"/>
        <v>33674</v>
      </c>
      <c r="N16" s="8">
        <f t="shared" si="2"/>
        <v>33686</v>
      </c>
      <c r="O16" s="8">
        <f t="shared" si="2"/>
        <v>44084</v>
      </c>
      <c r="Q16" s="8">
        <f>IFERROR(+Q10-Q14, 0)</f>
        <v>555323</v>
      </c>
    </row>
    <row r="17" spans="1:17" s="6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4">
        <f>SUM(OSRRefD20x_0)</f>
        <v>21135.86</v>
      </c>
      <c r="E19" s="14">
        <f>SUM(OSRRefD20x_1)</f>
        <v>57099.96</v>
      </c>
      <c r="F19" s="14">
        <f>SUM(OSRRefD20x_2)</f>
        <v>25727.17</v>
      </c>
      <c r="G19" s="14">
        <f>SUM(OSRRefD20x_3)</f>
        <v>144748.99</v>
      </c>
      <c r="H19" s="14">
        <f>SUM(OSRRefD20x_4)</f>
        <v>16452.79</v>
      </c>
      <c r="I19" s="14">
        <f>SUM(OSRRefD20x_5)</f>
        <v>20530.420000000002</v>
      </c>
      <c r="J19" s="14">
        <f>SUM(OSRRefD20x_6)</f>
        <v>23351.099999999995</v>
      </c>
      <c r="K19" s="14">
        <f>SUM(OSRRefD20x_7)</f>
        <v>17834.469999999998</v>
      </c>
      <c r="L19" s="14">
        <f>SUM(OSRRefD20x_8)</f>
        <v>41256.259999999995</v>
      </c>
      <c r="M19" s="14">
        <f>SUM(OSRRefD20x_9)</f>
        <v>20096.279999999995</v>
      </c>
      <c r="N19" s="14">
        <f>SUM(OSRRefE20x_0)</f>
        <v>31696.217163815385</v>
      </c>
      <c r="O19" s="14">
        <f>SUM(OSRRefE20x_1)</f>
        <v>38922.340180865387</v>
      </c>
      <c r="Q19" s="14">
        <f>SUM(OSRRefG20x)</f>
        <v>458851.85734468082</v>
      </c>
    </row>
    <row r="20" spans="1:17" s="34" customFormat="1" collapsed="1" x14ac:dyDescent="0.25">
      <c r="A20" s="35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SUM(OSRRefD21_0x_9)</f>
        <v>4442.8100000000004</v>
      </c>
      <c r="N20" s="1">
        <f>SUM(OSRRefE21_0x_0)</f>
        <v>3633.3500945846163</v>
      </c>
      <c r="O20" s="1">
        <f>SUM(OSRRefE21_0x_1)</f>
        <v>4946.0766616346173</v>
      </c>
      <c r="Q20" s="2">
        <f>SUM(OSRRefD20_0x)+IFERROR(SUM(OSRRefE20_0x),0)</f>
        <v>51525.206756219231</v>
      </c>
    </row>
    <row r="21" spans="1:17" s="34" customFormat="1" hidden="1" outlineLevel="1" x14ac:dyDescent="0.25">
      <c r="A21" s="35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1265.6400000000001</v>
      </c>
      <c r="N21" s="2">
        <v>726.12499943076898</v>
      </c>
      <c r="O21" s="2">
        <v>1727.33140298077</v>
      </c>
      <c r="P21" s="9"/>
      <c r="Q21" s="2">
        <f>SUM(OSRRefD21_0_0x)+IFERROR(SUM(OSRRefE21_0_0x),0)</f>
        <v>12800.74640241154</v>
      </c>
    </row>
    <row r="22" spans="1:17" s="34" customFormat="1" hidden="1" outlineLevel="1" x14ac:dyDescent="0.25">
      <c r="A22" s="35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14.14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1504.5525640384619</v>
      </c>
    </row>
    <row r="23" spans="1:17" s="34" customFormat="1" hidden="1" outlineLevel="1" x14ac:dyDescent="0.25">
      <c r="A23" s="35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1207.95</v>
      </c>
      <c r="N23" s="2">
        <v>1025</v>
      </c>
      <c r="O23" s="2">
        <v>1025</v>
      </c>
      <c r="P23" s="9"/>
      <c r="Q23" s="2">
        <f>SUM(OSRRefD21_0_2x)+IFERROR(SUM(OSRRefE21_0_2x),0)</f>
        <v>14284.800000000003</v>
      </c>
    </row>
    <row r="24" spans="1:17" s="34" customFormat="1" hidden="1" outlineLevel="1" x14ac:dyDescent="0.25">
      <c r="A24" s="35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11.14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459.63700900000003</v>
      </c>
    </row>
    <row r="25" spans="1:17" s="34" customFormat="1" hidden="1" outlineLevel="1" x14ac:dyDescent="0.25">
      <c r="A25" s="35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640.35</v>
      </c>
      <c r="N25" s="2">
        <v>560.123953846154</v>
      </c>
      <c r="O25" s="2">
        <v>560.123953846154</v>
      </c>
      <c r="P25" s="9"/>
      <c r="Q25" s="2">
        <f>SUM(OSRRefD21_0_4x)+IFERROR(SUM(OSRRefE21_0_4x),0)</f>
        <v>8821.5279076923089</v>
      </c>
    </row>
    <row r="26" spans="1:17" s="34" customFormat="1" hidden="1" outlineLevel="1" x14ac:dyDescent="0.25">
      <c r="A26" s="35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>
        <v>74.67</v>
      </c>
      <c r="N27" s="2"/>
      <c r="O27" s="2"/>
      <c r="P27" s="9"/>
      <c r="Q27" s="2">
        <f>SUM(OSRRefD21_0_6x)+IFERROR(SUM(OSRRefE21_0_6x),0)</f>
        <v>889.44999999999993</v>
      </c>
    </row>
    <row r="28" spans="1:17" s="34" customFormat="1" hidden="1" outlineLevel="1" x14ac:dyDescent="0.25">
      <c r="A28" s="35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780.03</v>
      </c>
      <c r="N28" s="2">
        <v>195.39207692307701</v>
      </c>
      <c r="O28" s="2">
        <v>195.39207692307701</v>
      </c>
      <c r="P28" s="9"/>
      <c r="Q28" s="2">
        <f>SUM(OSRRefD21_0_7x)+IFERROR(SUM(OSRRefE21_0_7x),0)</f>
        <v>6111.0041538461546</v>
      </c>
    </row>
    <row r="29" spans="1:17" s="34" customFormat="1" hidden="1" outlineLevel="1" x14ac:dyDescent="0.25">
      <c r="A29" s="35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448.89</v>
      </c>
      <c r="N29" s="2">
        <v>429.10008461538501</v>
      </c>
      <c r="O29" s="2">
        <v>611.98863461538497</v>
      </c>
      <c r="P29" s="9"/>
      <c r="Q29" s="2">
        <f>SUM(OSRRefD21_0_8x)+IFERROR(SUM(OSRRefE21_0_8x),0)</f>
        <v>4332.9587192307699</v>
      </c>
    </row>
    <row r="30" spans="1:17" s="34" customFormat="1" hidden="1" outlineLevel="1" x14ac:dyDescent="0.25">
      <c r="A30" s="35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/>
      <c r="N30" s="2">
        <v>350</v>
      </c>
      <c r="O30" s="2">
        <v>350</v>
      </c>
      <c r="P30" s="9"/>
      <c r="Q30" s="2">
        <f>SUM(OSRRefD21_0_9x)+IFERROR(SUM(OSRRefE21_0_9x),0)</f>
        <v>2320.5299999999997</v>
      </c>
    </row>
    <row r="31" spans="1:17" s="34" customFormat="1" collapsed="1" x14ac:dyDescent="0.25">
      <c r="A31" s="35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SUM(OSRRefD21_1x_9)</f>
        <v>12186.69</v>
      </c>
      <c r="N31" s="1">
        <f>SUM(OSRRefE21_1x_0)</f>
        <v>15849.86706923077</v>
      </c>
      <c r="O31" s="1">
        <f>SUM(OSRRefE21_1x_1)</f>
        <v>21763.263519230772</v>
      </c>
      <c r="Q31" s="2">
        <f>SUM(OSRRefD20_1x)+IFERROR(SUM(OSRRefE20_1x),0)</f>
        <v>177947.54058846156</v>
      </c>
    </row>
    <row r="32" spans="1:17" s="34" customFormat="1" hidden="1" outlineLevel="1" x14ac:dyDescent="0.25">
      <c r="A32" s="35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4416.3900000000003</v>
      </c>
      <c r="N32" s="2">
        <v>4019.23076923077</v>
      </c>
      <c r="O32" s="2">
        <v>4019.23076923077</v>
      </c>
      <c r="P32" s="9"/>
      <c r="Q32" s="2">
        <f>SUM(OSRRefD21_1_0x)+IFERROR(SUM(OSRRefE21_1_0x),0)</f>
        <v>51777.901538461541</v>
      </c>
    </row>
    <row r="33" spans="1:17" s="34" customFormat="1" hidden="1" outlineLevel="1" x14ac:dyDescent="0.25">
      <c r="A33" s="35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2395.9899999999998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27844.05</v>
      </c>
    </row>
    <row r="34" spans="1:17" s="34" customFormat="1" hidden="1" outlineLevel="1" x14ac:dyDescent="0.25">
      <c r="A34" s="35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2885.7887999999998</v>
      </c>
      <c r="O35" s="2">
        <v>5410.8540000000003</v>
      </c>
      <c r="P35" s="9"/>
      <c r="Q35" s="2">
        <f>SUM(OSRRefD21_1_3x)+IFERROR(SUM(OSRRefE21_1_3x),0)</f>
        <v>8296.6427999999996</v>
      </c>
    </row>
    <row r="36" spans="1:17" s="34" customFormat="1" hidden="1" outlineLevel="1" x14ac:dyDescent="0.25">
      <c r="A36" s="35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6926.31</v>
      </c>
      <c r="N36" s="2">
        <v>0</v>
      </c>
      <c r="O36" s="2">
        <v>0</v>
      </c>
      <c r="P36" s="9"/>
      <c r="Q36" s="2">
        <f>SUM(OSRRefD21_1_4x)+IFERROR(SUM(OSRRefE21_1_4x),0)</f>
        <v>64897.63</v>
      </c>
    </row>
    <row r="37" spans="1:17" s="34" customFormat="1" hidden="1" outlineLevel="1" x14ac:dyDescent="0.25">
      <c r="A37" s="35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-1552</v>
      </c>
      <c r="N38" s="2">
        <v>0</v>
      </c>
      <c r="O38" s="2">
        <v>10164.99375</v>
      </c>
      <c r="P38" s="9"/>
      <c r="Q38" s="2">
        <f>SUM(OSRRefD21_1_6x)+IFERROR(SUM(OSRRefE21_1_6x),0)</f>
        <v>14442.77375</v>
      </c>
    </row>
    <row r="39" spans="1:17" s="34" customFormat="1" hidden="1" outlineLevel="1" x14ac:dyDescent="0.25">
      <c r="A39" s="35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/>
      <c r="N39" s="2">
        <v>6776.6625000000004</v>
      </c>
      <c r="O39" s="2">
        <v>0</v>
      </c>
      <c r="P39" s="9"/>
      <c r="Q39" s="2">
        <f>SUM(OSRRefD21_1_7x)+IFERROR(SUM(OSRRefE21_1_7x),0)</f>
        <v>10688.5425</v>
      </c>
    </row>
    <row r="40" spans="1:17" s="34" customFormat="1" hidden="1" outlineLevel="1" x14ac:dyDescent="0.25">
      <c r="A40" s="35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SUM(OSRRefE21_2x_0)</f>
        <v>100</v>
      </c>
      <c r="O42" s="1">
        <f>SUM(OSRRefE21_2x_1)</f>
        <v>100</v>
      </c>
      <c r="Q42" s="2">
        <f>SUM(OSRRefD20_2x)+IFERROR(SUM(OSRRefE20_2x),0)</f>
        <v>200</v>
      </c>
    </row>
    <row r="43" spans="1:17" s="34" customFormat="1" hidden="1" outlineLevel="1" x14ac:dyDescent="0.25">
      <c r="A43" s="35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>
        <v>100</v>
      </c>
      <c r="O43" s="2">
        <v>100</v>
      </c>
      <c r="P43" s="9"/>
      <c r="Q43" s="2">
        <f>SUM(OSRRefD21_2_0x)+IFERROR(SUM(OSRRefE21_2_0x),0)</f>
        <v>200</v>
      </c>
    </row>
    <row r="44" spans="1:17" s="34" customFormat="1" collapsed="1" x14ac:dyDescent="0.25">
      <c r="A44" s="35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SUM(OSRRefD21_3x_9)</f>
        <v>50.67</v>
      </c>
      <c r="N44" s="1">
        <f>SUM(OSRRefE21_3x_0)</f>
        <v>2000</v>
      </c>
      <c r="O44" s="1">
        <f>SUM(OSRRefE21_3x_1)</f>
        <v>2000</v>
      </c>
      <c r="Q44" s="2">
        <f>SUM(OSRRefD20_3x)+IFERROR(SUM(OSRRefE20_3x),0)</f>
        <v>4803.9400000000005</v>
      </c>
    </row>
    <row r="45" spans="1:17" s="34" customFormat="1" hidden="1" outlineLevel="1" x14ac:dyDescent="0.25">
      <c r="A45" s="35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50.67</v>
      </c>
      <c r="N45" s="2">
        <v>2000</v>
      </c>
      <c r="O45" s="2">
        <v>2000</v>
      </c>
      <c r="P45" s="9"/>
      <c r="Q45" s="2">
        <f>SUM(OSRRefD21_3_0x)+IFERROR(SUM(OSRRefE21_3_0x),0)</f>
        <v>4803.9400000000005</v>
      </c>
    </row>
    <row r="46" spans="1:17" s="34" customFormat="1" collapsed="1" x14ac:dyDescent="0.25">
      <c r="A46" s="35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SUM(OSRRefD21_4x_9)</f>
        <v>0</v>
      </c>
      <c r="N46" s="1">
        <f>SUM(OSRRefE21_4x_0)</f>
        <v>20</v>
      </c>
      <c r="O46" s="1">
        <f>SUM(OSRRefE21_4x_1)</f>
        <v>20</v>
      </c>
      <c r="Q46" s="2">
        <f>SUM(OSRRefD20_4x)+IFERROR(SUM(OSRRefE20_4x),0)</f>
        <v>40</v>
      </c>
    </row>
    <row r="47" spans="1:17" s="34" customFormat="1" hidden="1" outlineLevel="1" x14ac:dyDescent="0.25">
      <c r="A47" s="35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20</v>
      </c>
      <c r="O47" s="2">
        <v>20</v>
      </c>
      <c r="P47" s="9"/>
      <c r="Q47" s="2">
        <f>SUM(OSRRefD21_4_0x)+IFERROR(SUM(OSRRefE21_4_0x),0)</f>
        <v>40</v>
      </c>
    </row>
    <row r="48" spans="1:17" s="34" customFormat="1" collapsed="1" x14ac:dyDescent="0.25">
      <c r="A48" s="35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SUM(OSRRefD21_5x_9)</f>
        <v>0</v>
      </c>
      <c r="N48" s="1">
        <f>SUM(OSRRefE21_5x_0)</f>
        <v>10</v>
      </c>
      <c r="O48" s="1">
        <f>SUM(OSRRefE21_5x_1)</f>
        <v>10</v>
      </c>
      <c r="Q48" s="2">
        <f>SUM(OSRRefD20_5x)+IFERROR(SUM(OSRRefE20_5x),0)</f>
        <v>22.12</v>
      </c>
    </row>
    <row r="49" spans="1:17" s="34" customFormat="1" hidden="1" outlineLevel="1" x14ac:dyDescent="0.25">
      <c r="A49" s="35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25">
      <c r="A50" s="35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/>
      <c r="N50" s="2">
        <v>10</v>
      </c>
      <c r="O50" s="2">
        <v>10</v>
      </c>
      <c r="P50" s="9"/>
      <c r="Q50" s="2">
        <f>SUM(OSRRefD21_5_1x)+IFERROR(SUM(OSRRefE21_5_1x),0)</f>
        <v>20.5</v>
      </c>
    </row>
    <row r="51" spans="1:17" s="34" customFormat="1" collapsed="1" x14ac:dyDescent="0.25">
      <c r="A51" s="35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SUM(OSRRefE21_6x_0)</f>
        <v>50</v>
      </c>
      <c r="O51" s="1">
        <f>SUM(OSRRefE21_6x_1)</f>
        <v>50</v>
      </c>
      <c r="Q51" s="2">
        <f>SUM(OSRRefD20_6x)+IFERROR(SUM(OSRRefE20_6x),0)</f>
        <v>100</v>
      </c>
    </row>
    <row r="52" spans="1:17" s="34" customFormat="1" hidden="1" outlineLevel="1" x14ac:dyDescent="0.25">
      <c r="A52" s="35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50</v>
      </c>
      <c r="O52" s="2">
        <v>50</v>
      </c>
      <c r="P52" s="9"/>
      <c r="Q52" s="2">
        <f>SUM(OSRRefD21_6_0x)+IFERROR(SUM(OSRRefE21_6_0x),0)</f>
        <v>100</v>
      </c>
    </row>
    <row r="53" spans="1:17" s="34" customFormat="1" collapsed="1" x14ac:dyDescent="0.25">
      <c r="A53" s="35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SUM(OSRRefD21_7x_9)</f>
        <v>29.01</v>
      </c>
      <c r="N53" s="1">
        <f>SUM(OSRRefE21_7x_0)</f>
        <v>33</v>
      </c>
      <c r="O53" s="1">
        <f>SUM(OSRRefE21_7x_1)</f>
        <v>33</v>
      </c>
      <c r="Q53" s="2">
        <f>SUM(OSRRefD20_7x)+IFERROR(SUM(OSRRefE20_7x),0)</f>
        <v>356.09999999999997</v>
      </c>
    </row>
    <row r="54" spans="1:17" s="34" customFormat="1" hidden="1" outlineLevel="1" x14ac:dyDescent="0.25">
      <c r="A54" s="35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29.01</v>
      </c>
      <c r="N54" s="2">
        <v>33</v>
      </c>
      <c r="O54" s="2">
        <v>33</v>
      </c>
      <c r="P54" s="9"/>
      <c r="Q54" s="2">
        <f>SUM(OSRRefD21_7_0x)+IFERROR(SUM(OSRRefE21_7_0x),0)</f>
        <v>356.09999999999997</v>
      </c>
    </row>
    <row r="55" spans="1:17" s="34" customFormat="1" collapsed="1" x14ac:dyDescent="0.25">
      <c r="A55" s="35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SUM(OSRRefD21_8x_9)</f>
        <v>800</v>
      </c>
      <c r="N55" s="1">
        <f>SUM(OSRRefE21_8x_0)</f>
        <v>800</v>
      </c>
      <c r="O55" s="1">
        <f>SUM(OSRRefE21_8x_1)</f>
        <v>800</v>
      </c>
      <c r="Q55" s="2">
        <f>SUM(OSRRefD20_8x)+IFERROR(SUM(OSRRefE20_8x),0)</f>
        <v>9600</v>
      </c>
    </row>
    <row r="56" spans="1:17" s="34" customFormat="1" hidden="1" outlineLevel="1" x14ac:dyDescent="0.25">
      <c r="A56" s="35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25">
      <c r="A57" s="35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SUM(OSRRefD21_9x_9)</f>
        <v>0</v>
      </c>
      <c r="N57" s="1">
        <f>SUM(OSRRefE21_9x_0)</f>
        <v>1500</v>
      </c>
      <c r="O57" s="1">
        <f>SUM(OSRRefE21_9x_1)</f>
        <v>1500</v>
      </c>
      <c r="Q57" s="2">
        <f>SUM(OSRRefD20_9x)+IFERROR(SUM(OSRRefE20_9x),0)</f>
        <v>152496.13</v>
      </c>
    </row>
    <row r="58" spans="1:17" s="34" customFormat="1" hidden="1" outlineLevel="1" x14ac:dyDescent="0.25">
      <c r="A58" s="35"/>
      <c r="B58" s="10" t="str">
        <f>CONCATENATE("          ","6372", " - ","COMPUTER HARDWARE MAINTENANCE")</f>
        <v xml:space="preserve">          6372 - COMPUTER HARDWARE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1500</v>
      </c>
      <c r="O58" s="2">
        <v>1500</v>
      </c>
      <c r="P58" s="9"/>
      <c r="Q58" s="2">
        <f>SUM(OSRRefD21_9_0x)+IFERROR(SUM(OSRRefE21_9_0x),0)</f>
        <v>3000</v>
      </c>
    </row>
    <row r="59" spans="1:17" s="34" customFormat="1" hidden="1" outlineLevel="1" x14ac:dyDescent="0.25">
      <c r="A59" s="35"/>
      <c r="B59" s="10" t="str">
        <f>CONCATENATE("          ","6373", " - ","MAINTENANCE CONTRACTS")</f>
        <v xml:space="preserve">          6373 - MAINTENANCE CONTRACTS</v>
      </c>
      <c r="C59" s="11"/>
      <c r="D59" s="2"/>
      <c r="E59" s="2"/>
      <c r="F59" s="2"/>
      <c r="G59" s="2">
        <v>117265.9</v>
      </c>
      <c r="H59" s="2"/>
      <c r="I59" s="2">
        <v>3087</v>
      </c>
      <c r="J59" s="2"/>
      <c r="K59" s="2"/>
      <c r="L59" s="2">
        <v>22581.23</v>
      </c>
      <c r="M59" s="2"/>
      <c r="N59" s="2"/>
      <c r="O59" s="2"/>
      <c r="P59" s="9"/>
      <c r="Q59" s="2">
        <f>SUM(OSRRefD21_9_1x)+IFERROR(SUM(OSRRefE21_9_1x),0)</f>
        <v>142934.13</v>
      </c>
    </row>
    <row r="60" spans="1:17" s="34" customFormat="1" hidden="1" outlineLevel="1" x14ac:dyDescent="0.25">
      <c r="A60" s="35"/>
      <c r="B60" s="10" t="str">
        <f>CONCATENATE("          ","6375", " - ","OUTSIDE REPAIRS &amp; MAINTENANCE")</f>
        <v xml:space="preserve">          6375 - OUTSIDE REPAIRS &amp; MAINTENANCE</v>
      </c>
      <c r="C60" s="11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25">
      <c r="A61" s="35"/>
      <c r="B61" s="11" t="str">
        <f>CONCATENATE("     ","Supplies                                          ")</f>
        <v xml:space="preserve">     Supplies                                          </v>
      </c>
      <c r="C61" s="11"/>
      <c r="D61" s="1">
        <f>SUM(OSRRefD21_10x_0)</f>
        <v>92.59</v>
      </c>
      <c r="E61" s="1">
        <f>SUM(OSRRefD21_10x_1)</f>
        <v>35090.559999999998</v>
      </c>
      <c r="F61" s="1">
        <f>SUM(OSRRefD21_10x_2)</f>
        <v>0</v>
      </c>
      <c r="G61" s="1">
        <f>SUM(OSRRefD21_10x_3)</f>
        <v>6088.55</v>
      </c>
      <c r="H61" s="1">
        <f>SUM(OSRRefD21_10x_4)</f>
        <v>0</v>
      </c>
      <c r="I61" s="1">
        <f>SUM(OSRRefD21_10x_5)</f>
        <v>0</v>
      </c>
      <c r="J61" s="1">
        <f>SUM(OSRRefD21_10x_6)</f>
        <v>774.92</v>
      </c>
      <c r="K61" s="1">
        <f>SUM(OSRRefD21_10x_7)</f>
        <v>11.55</v>
      </c>
      <c r="L61" s="1">
        <f>SUM(OSRRefD21_10x_8)</f>
        <v>3.72</v>
      </c>
      <c r="M61" s="1">
        <f>SUM(OSRRefD21_10x_9)</f>
        <v>2500</v>
      </c>
      <c r="N61" s="1">
        <f>SUM(OSRRefE21_10x_0)</f>
        <v>7000</v>
      </c>
      <c r="O61" s="1">
        <f>SUM(OSRRefE21_10x_1)</f>
        <v>7000</v>
      </c>
      <c r="Q61" s="2">
        <f>SUM(OSRRefD20_10x)+IFERROR(SUM(OSRRefE20_10x),0)</f>
        <v>58561.89</v>
      </c>
    </row>
    <row r="62" spans="1:17" s="34" customFormat="1" hidden="1" outlineLevel="1" x14ac:dyDescent="0.25">
      <c r="A62" s="35"/>
      <c r="B62" s="10" t="str">
        <f>CONCATENATE("          ","6234", " - ","EXPENDABLE SUPPLIES &amp; EQUIPMEN")</f>
        <v xml:space="preserve">          6234 - EXPENDABLE SUPPLIES &amp; EQUIPMEN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7000</v>
      </c>
      <c r="O62" s="2">
        <v>7000</v>
      </c>
      <c r="P62" s="9"/>
      <c r="Q62" s="2">
        <f>SUM(OSRRefD21_10_0x)+IFERROR(SUM(OSRRefE21_10_0x),0)</f>
        <v>14000</v>
      </c>
    </row>
    <row r="63" spans="1:17" s="34" customFormat="1" hidden="1" outlineLevel="1" x14ac:dyDescent="0.25">
      <c r="A63" s="35"/>
      <c r="B63" s="10" t="str">
        <f>CONCATENATE("          ","6241", " - ","OFFICE EXPENSE")</f>
        <v xml:space="preserve">          6241 - OFFICE EXPENSE</v>
      </c>
      <c r="C63" s="11"/>
      <c r="D63" s="2">
        <v>92.59</v>
      </c>
      <c r="E63" s="2">
        <v>35090.559999999998</v>
      </c>
      <c r="F63" s="2"/>
      <c r="G63" s="2">
        <v>6088.55</v>
      </c>
      <c r="H63" s="2"/>
      <c r="I63" s="2"/>
      <c r="J63" s="2">
        <v>774.92</v>
      </c>
      <c r="K63" s="2">
        <v>11.55</v>
      </c>
      <c r="L63" s="2">
        <v>3.72</v>
      </c>
      <c r="M63" s="2">
        <v>2500</v>
      </c>
      <c r="N63" s="2"/>
      <c r="O63" s="2"/>
      <c r="P63" s="9"/>
      <c r="Q63" s="2">
        <f>SUM(OSRRefD21_10_1x)+IFERROR(SUM(OSRRefE21_10_1x),0)</f>
        <v>44561.89</v>
      </c>
    </row>
    <row r="64" spans="1:17" s="34" customFormat="1" collapsed="1" x14ac:dyDescent="0.25">
      <c r="A64" s="35"/>
      <c r="B64" s="11" t="str">
        <f>CONCATENATE("     ","Telephone/Data Lines                              ")</f>
        <v xml:space="preserve">     Telephone/Data Lines                              </v>
      </c>
      <c r="C64" s="11"/>
      <c r="D64" s="1">
        <f>SUM(OSRRefD21_11x_0)</f>
        <v>154.93</v>
      </c>
      <c r="E64" s="1">
        <f>SUM(OSRRefD21_11x_1)</f>
        <v>137.15</v>
      </c>
      <c r="F64" s="1">
        <f>SUM(OSRRefD21_11x_2)</f>
        <v>750</v>
      </c>
      <c r="G64" s="1">
        <f>SUM(OSRRefD21_11x_3)</f>
        <v>136.65</v>
      </c>
      <c r="H64" s="1">
        <f>SUM(OSRRefD21_11x_4)</f>
        <v>136.94999999999999</v>
      </c>
      <c r="I64" s="1">
        <f>SUM(OSRRefD21_11x_5)</f>
        <v>136.15</v>
      </c>
      <c r="J64" s="1">
        <f>SUM(OSRRefD21_11x_6)</f>
        <v>86.55</v>
      </c>
      <c r="K64" s="1">
        <f>SUM(OSRRefD21_11x_7)</f>
        <v>86.45</v>
      </c>
      <c r="L64" s="1">
        <f>SUM(OSRRefD21_11x_8)</f>
        <v>87</v>
      </c>
      <c r="M64" s="1">
        <f>SUM(OSRRefD21_11x_9)</f>
        <v>87.1</v>
      </c>
      <c r="N64" s="1">
        <f>SUM(OSRRefE21_11x_0)</f>
        <v>700</v>
      </c>
      <c r="O64" s="1">
        <f>SUM(OSRRefE21_11x_1)</f>
        <v>700</v>
      </c>
      <c r="Q64" s="2">
        <f>SUM(OSRRefD20_11x)+IFERROR(SUM(OSRRefE20_11x),0)</f>
        <v>3198.9300000000003</v>
      </c>
    </row>
    <row r="65" spans="1:17" s="34" customFormat="1" hidden="1" outlineLevel="1" x14ac:dyDescent="0.25">
      <c r="A65" s="35"/>
      <c r="B65" s="10" t="str">
        <f>CONCATENATE("          ","6309", " - ","TELEPHONE")</f>
        <v xml:space="preserve">          6309 - TELEPHONE</v>
      </c>
      <c r="C65" s="11"/>
      <c r="D65" s="2">
        <v>154.93</v>
      </c>
      <c r="E65" s="2">
        <v>137.15</v>
      </c>
      <c r="F65" s="2">
        <v>750</v>
      </c>
      <c r="G65" s="2">
        <v>136.65</v>
      </c>
      <c r="H65" s="2">
        <v>136.94999999999999</v>
      </c>
      <c r="I65" s="2">
        <v>136.15</v>
      </c>
      <c r="J65" s="2">
        <v>86.55</v>
      </c>
      <c r="K65" s="2">
        <v>86.45</v>
      </c>
      <c r="L65" s="2">
        <v>87</v>
      </c>
      <c r="M65" s="2">
        <v>87.1</v>
      </c>
      <c r="N65" s="2">
        <v>700</v>
      </c>
      <c r="O65" s="2">
        <v>700</v>
      </c>
      <c r="P65" s="9"/>
      <c r="Q65" s="2">
        <f>SUM(OSRRefD21_11_0x)+IFERROR(SUM(OSRRefE21_11_0x),0)</f>
        <v>3198.9300000000003</v>
      </c>
    </row>
    <row r="66" spans="1:17" s="30" customFormat="1" x14ac:dyDescent="0.25">
      <c r="A66" s="21"/>
      <c r="B66" s="21"/>
      <c r="C66" s="2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Q66" s="1"/>
    </row>
    <row r="67" spans="1:17" s="9" customFormat="1" x14ac:dyDescent="0.25">
      <c r="A67" s="23"/>
      <c r="B67" s="16" t="s">
        <v>291</v>
      </c>
      <c r="C67" s="22"/>
      <c r="D67" s="3">
        <f>--165</f>
        <v>165</v>
      </c>
      <c r="E67" s="3">
        <f>--325</f>
        <v>325</v>
      </c>
      <c r="F67" s="3">
        <f>--260</f>
        <v>260</v>
      </c>
      <c r="G67" s="3">
        <f>--225.16</f>
        <v>225.16</v>
      </c>
      <c r="H67" s="3">
        <f>--145.04</f>
        <v>145.04</v>
      </c>
      <c r="I67" s="3">
        <f>--140</f>
        <v>140</v>
      </c>
      <c r="J67" s="3">
        <f>--237</f>
        <v>237</v>
      </c>
      <c r="K67" s="3">
        <f>--231.48</f>
        <v>231.48</v>
      </c>
      <c r="L67" s="3">
        <f>--210</f>
        <v>210</v>
      </c>
      <c r="M67" s="3">
        <f>--221.44</f>
        <v>221.44</v>
      </c>
      <c r="N67" s="3">
        <v>3000</v>
      </c>
      <c r="O67" s="3">
        <v>2500</v>
      </c>
      <c r="Q67" s="2">
        <f>SUM(OSRRefD23_0x)+IFERROR(SUM(OSRRefE23_0x),0)</f>
        <v>7660.12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25">
      <c r="A69" s="6"/>
      <c r="B69" s="17" t="s">
        <v>274</v>
      </c>
      <c r="C69" s="17"/>
      <c r="D69" s="8">
        <f t="shared" ref="D69:O69" si="4">IFERROR(+D16-D19+D67, 0)</f>
        <v>0.13999999999941792</v>
      </c>
      <c r="E69" s="8">
        <f t="shared" si="4"/>
        <v>10086.040000000001</v>
      </c>
      <c r="F69" s="8">
        <f t="shared" si="4"/>
        <v>4742.8300000000017</v>
      </c>
      <c r="G69" s="8">
        <f t="shared" si="4"/>
        <v>7039.1700000000092</v>
      </c>
      <c r="H69" s="8">
        <f t="shared" si="4"/>
        <v>36534.25</v>
      </c>
      <c r="I69" s="8">
        <f t="shared" si="4"/>
        <v>-7165.4200000000019</v>
      </c>
      <c r="J69" s="8">
        <f t="shared" si="4"/>
        <v>10869.900000000005</v>
      </c>
      <c r="K69" s="8">
        <f t="shared" si="4"/>
        <v>4995.010000000002</v>
      </c>
      <c r="L69" s="8">
        <f t="shared" si="4"/>
        <v>10578.740000000005</v>
      </c>
      <c r="M69" s="8">
        <f t="shared" si="4"/>
        <v>13799.160000000005</v>
      </c>
      <c r="N69" s="8">
        <f t="shared" si="4"/>
        <v>4989.782836184615</v>
      </c>
      <c r="O69" s="8">
        <f t="shared" si="4"/>
        <v>7661.6598191346129</v>
      </c>
      <c r="Q69" s="8">
        <f>IFERROR(+Q16-Q19+Q67, 0)</f>
        <v>104131.26265531918</v>
      </c>
    </row>
    <row r="70" spans="1:17" s="6" customFormat="1" x14ac:dyDescent="0.25">
      <c r="B70" s="16"/>
      <c r="C70" s="16"/>
      <c r="D70" s="4">
        <f t="shared" ref="D70:O70" si="5">IFERROR(D69/D10, 0)</f>
        <v>6.6758857469561736E-6</v>
      </c>
      <c r="E70" s="4">
        <f t="shared" si="5"/>
        <v>0.15085086971478143</v>
      </c>
      <c r="F70" s="4">
        <f t="shared" si="5"/>
        <v>0.15699536577292292</v>
      </c>
      <c r="G70" s="4">
        <f t="shared" si="5"/>
        <v>4.6443855030581405E-2</v>
      </c>
      <c r="H70" s="4">
        <f t="shared" si="5"/>
        <v>0.69138658642746298</v>
      </c>
      <c r="I70" s="4">
        <f t="shared" si="5"/>
        <v>-0.54180869565217404</v>
      </c>
      <c r="J70" s="4">
        <f t="shared" si="5"/>
        <v>0.31985346045197754</v>
      </c>
      <c r="K70" s="4">
        <f t="shared" si="5"/>
        <v>0.22103770245154447</v>
      </c>
      <c r="L70" s="4">
        <f t="shared" si="5"/>
        <v>0.20491506053268776</v>
      </c>
      <c r="M70" s="4">
        <f t="shared" si="5"/>
        <v>0.40978677911742012</v>
      </c>
      <c r="N70" s="4">
        <f t="shared" si="5"/>
        <v>0.148126308739079</v>
      </c>
      <c r="O70" s="4">
        <f t="shared" si="5"/>
        <v>0.17379683828905301</v>
      </c>
      <c r="P70" s="18"/>
      <c r="Q70" s="4">
        <f>IFERROR(Q69/Q10, 0)</f>
        <v>0.18751476646081502</v>
      </c>
    </row>
    <row r="71" spans="1:17" x14ac:dyDescent="0.25">
      <c r="A71" s="5"/>
      <c r="B71" s="6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25">
      <c r="A72" s="25"/>
      <c r="B72" s="6" t="s">
        <v>125</v>
      </c>
      <c r="C72" s="6"/>
      <c r="D72" s="3">
        <v>10085.93</v>
      </c>
      <c r="E72" s="3">
        <v>4743.34</v>
      </c>
      <c r="F72" s="3">
        <v>7038.6</v>
      </c>
      <c r="G72" s="3">
        <v>36534.379999999997</v>
      </c>
      <c r="H72" s="3">
        <v>-7165.41</v>
      </c>
      <c r="I72" s="3">
        <v>10869.59</v>
      </c>
      <c r="J72" s="3">
        <v>4995.91</v>
      </c>
      <c r="K72" s="3">
        <v>10577.98</v>
      </c>
      <c r="L72" s="3">
        <v>13799.37</v>
      </c>
      <c r="M72" s="3">
        <v>8426.34</v>
      </c>
      <c r="N72" s="3">
        <v>16297</v>
      </c>
      <c r="O72" s="3">
        <v>20157</v>
      </c>
      <c r="Q72" s="2">
        <f>SUM(OSRRefD28_0x)+IFERROR(SUM(OSRRefE28_0x),0)</f>
        <v>136360.02999999997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ht="15.75" thickBot="1" x14ac:dyDescent="0.3">
      <c r="A74" s="6"/>
      <c r="B74" s="17" t="s">
        <v>124</v>
      </c>
      <c r="C74" s="17"/>
      <c r="D74" s="7">
        <f t="shared" ref="D74:O74" si="6">IFERROR(+D69-D72, 0)</f>
        <v>-10085.790000000001</v>
      </c>
      <c r="E74" s="7">
        <f t="shared" si="6"/>
        <v>5342.7000000000007</v>
      </c>
      <c r="F74" s="7">
        <f t="shared" si="6"/>
        <v>-2295.7699999999986</v>
      </c>
      <c r="G74" s="7">
        <f t="shared" si="6"/>
        <v>-29495.209999999988</v>
      </c>
      <c r="H74" s="7">
        <f t="shared" si="6"/>
        <v>43699.66</v>
      </c>
      <c r="I74" s="7">
        <f t="shared" si="6"/>
        <v>-18035.010000000002</v>
      </c>
      <c r="J74" s="7">
        <f t="shared" si="6"/>
        <v>5873.9900000000052</v>
      </c>
      <c r="K74" s="7">
        <f t="shared" si="6"/>
        <v>-5582.9699999999975</v>
      </c>
      <c r="L74" s="7">
        <f t="shared" si="6"/>
        <v>-3220.6299999999956</v>
      </c>
      <c r="M74" s="7">
        <f t="shared" si="6"/>
        <v>5372.8200000000052</v>
      </c>
      <c r="N74" s="7">
        <f t="shared" si="6"/>
        <v>-11307.217163815385</v>
      </c>
      <c r="O74" s="7">
        <f t="shared" si="6"/>
        <v>-12495.340180865387</v>
      </c>
      <c r="Q74" s="7">
        <f>IFERROR(+Q69-Q72, 0)</f>
        <v>-32228.767344680789</v>
      </c>
    </row>
    <row r="75" spans="1:17" ht="15.75" thickTop="1" x14ac:dyDescent="0.25">
      <c r="A75" s="5"/>
      <c r="B75" s="5"/>
      <c r="C75" s="5"/>
      <c r="D75" s="4">
        <f t="shared" ref="D75:O75" si="7">IFERROR(D74/D10, 0)</f>
        <v>-0.48093986934337901</v>
      </c>
      <c r="E75" s="4">
        <f t="shared" si="7"/>
        <v>7.9907569435096706E-2</v>
      </c>
      <c r="F75" s="4">
        <f t="shared" si="7"/>
        <v>-7.5993710691823854E-2</v>
      </c>
      <c r="G75" s="4">
        <f t="shared" si="7"/>
        <v>-0.1946069291317801</v>
      </c>
      <c r="H75" s="4">
        <f t="shared" si="7"/>
        <v>0.82698724499451204</v>
      </c>
      <c r="I75" s="4">
        <f t="shared" si="7"/>
        <v>-1.3637058601134218</v>
      </c>
      <c r="J75" s="4">
        <f t="shared" si="7"/>
        <v>0.17284575094161975</v>
      </c>
      <c r="K75" s="4">
        <f t="shared" si="7"/>
        <v>-0.2470559341534648</v>
      </c>
      <c r="L75" s="4">
        <f t="shared" si="7"/>
        <v>-6.2385084745762626E-2</v>
      </c>
      <c r="M75" s="4">
        <f t="shared" si="7"/>
        <v>0.1595539585436837</v>
      </c>
      <c r="N75" s="4">
        <f t="shared" si="7"/>
        <v>-0.33566517733822315</v>
      </c>
      <c r="O75" s="4">
        <f t="shared" si="7"/>
        <v>-0.28344388396845538</v>
      </c>
      <c r="P75" s="18"/>
      <c r="Q75" s="4">
        <f>IFERROR(Q74/Q10, 0)</f>
        <v>-5.803607512147127E-2</v>
      </c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.75" thickBot="1" x14ac:dyDescent="0.3">
      <c r="A78" s="6"/>
      <c r="B78" s="17" t="s">
        <v>292</v>
      </c>
      <c r="C78" s="17"/>
      <c r="D78" s="7">
        <f t="shared" ref="D78:O78" si="8">IFERROR(SUM(D74:D77), 0)</f>
        <v>-10086.270939869344</v>
      </c>
      <c r="E78" s="7">
        <f t="shared" si="8"/>
        <v>5342.7799075694356</v>
      </c>
      <c r="F78" s="7">
        <f t="shared" si="8"/>
        <v>-2295.8459937106904</v>
      </c>
      <c r="G78" s="7">
        <f t="shared" si="8"/>
        <v>-29495.404606929122</v>
      </c>
      <c r="H78" s="7">
        <f t="shared" si="8"/>
        <v>43700.486987245</v>
      </c>
      <c r="I78" s="7">
        <f t="shared" si="8"/>
        <v>-18036.373705860115</v>
      </c>
      <c r="J78" s="7">
        <f t="shared" si="8"/>
        <v>5874.1628457509469</v>
      </c>
      <c r="K78" s="7">
        <f t="shared" si="8"/>
        <v>-5583.2170559341512</v>
      </c>
      <c r="L78" s="7">
        <f t="shared" si="8"/>
        <v>-3220.6923850847415</v>
      </c>
      <c r="M78" s="7">
        <f t="shared" si="8"/>
        <v>5372.9795539585484</v>
      </c>
      <c r="N78" s="7">
        <f t="shared" si="8"/>
        <v>-11307.552828992722</v>
      </c>
      <c r="O78" s="7">
        <f t="shared" si="8"/>
        <v>-12495.623624749356</v>
      </c>
      <c r="Q78" s="7">
        <f>IFERROR(SUM(Q74:Q77), 0)</f>
        <v>-32228.825380755912</v>
      </c>
    </row>
    <row r="79" spans="1:17" ht="15.75" thickTop="1" x14ac:dyDescent="0.25">
      <c r="A79" s="5"/>
      <c r="C79" s="5"/>
      <c r="D79" s="4">
        <f t="shared" ref="D79:O79" si="9">IFERROR(D78/D10, 0)</f>
        <v>-0.48096280291208549</v>
      </c>
      <c r="E79" s="4">
        <f t="shared" si="9"/>
        <v>7.9908764564835047E-2</v>
      </c>
      <c r="F79" s="4">
        <f t="shared" si="9"/>
        <v>-7.5996226206907991E-2</v>
      </c>
      <c r="G79" s="4">
        <f t="shared" si="9"/>
        <v>-0.19460821313202512</v>
      </c>
      <c r="H79" s="4">
        <f t="shared" si="9"/>
        <v>0.82700289518271453</v>
      </c>
      <c r="I79" s="4">
        <f t="shared" si="9"/>
        <v>-1.3638089758684397</v>
      </c>
      <c r="J79" s="4">
        <f t="shared" si="9"/>
        <v>0.17285083703363191</v>
      </c>
      <c r="K79" s="4">
        <f t="shared" si="9"/>
        <v>-0.24706686679945797</v>
      </c>
      <c r="L79" s="4">
        <f t="shared" si="9"/>
        <v>-6.2386293173554312E-2</v>
      </c>
      <c r="M79" s="4">
        <f t="shared" si="9"/>
        <v>0.15955869673809314</v>
      </c>
      <c r="N79" s="4">
        <f t="shared" si="9"/>
        <v>-0.33567514186880965</v>
      </c>
      <c r="O79" s="4">
        <f t="shared" si="9"/>
        <v>-0.28345031360015777</v>
      </c>
      <c r="P79" s="18"/>
      <c r="Q79" s="4">
        <f>IFERROR(Q78/Q10, 0)</f>
        <v>-5.8036179630153825E-2</v>
      </c>
    </row>
    <row r="80" spans="1:17" x14ac:dyDescent="0.25">
      <c r="A80" s="5"/>
      <c r="B80" s="27">
        <v>44330.012769791669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  <row r="81" spans="1:17" x14ac:dyDescent="0.25">
      <c r="A81" s="5"/>
      <c r="B81" s="31" t="s">
        <v>54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Q81" s="13"/>
    </row>
    <row r="82" spans="1:17" x14ac:dyDescent="0.25">
      <c r="A82" s="5"/>
      <c r="B82" s="26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25"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8" t="s">
        <v>23</v>
      </c>
    </row>
    <row r="3" spans="1:8" x14ac:dyDescent="0.25">
      <c r="B3" s="28" t="s">
        <v>122</v>
      </c>
    </row>
    <row r="4" spans="1:8" x14ac:dyDescent="0.25">
      <c r="B4" s="33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2" t="s">
        <v>77</v>
      </c>
      <c r="E7" s="12" t="s">
        <v>290</v>
      </c>
    </row>
    <row r="8" spans="1:8" x14ac:dyDescent="0.25">
      <c r="A8" s="6"/>
      <c r="B8" s="32"/>
      <c r="C8" s="6"/>
      <c r="D8" s="12" t="e">
        <f ca="1">CONCATENATE("Period ", _xll.OneStop.ReportPlayer.OSRFunctions.OSRGet("Period","PeriodInYear"))</f>
        <v>#NAME?</v>
      </c>
      <c r="E8" s="12" t="e">
        <f ca="1">CONCATENATE("Period ", _xll.OneStop.ReportPlayer.OSRFunctions.OSRGet("Period","PeriodInYear"))</f>
        <v>#NAME?</v>
      </c>
      <c r="G8" s="12" t="s">
        <v>196</v>
      </c>
    </row>
    <row r="9" spans="1:8" ht="15.75" x14ac:dyDescent="0.25">
      <c r="A9" s="5"/>
      <c r="B9" s="29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3"/>
      <c r="B13" s="16" t="s">
        <v>217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4" t="e">
        <f ca="1">SUM(_xll.OneStop.ReportPlayer.OSRFunctions.OSRRef(D20))</f>
        <v>#NAME?</v>
      </c>
      <c r="E19" s="14" t="e">
        <f ca="1">SUM(_xll.OneStop.ReportPlayer.OSRFunctions.OSRRef(E20))</f>
        <v>#NAME?</v>
      </c>
      <c r="G19" s="14" t="e">
        <f ca="1">SUM(_xll.OneStop.ReportPlayer.OSRFunctions.OSRRef(G20))</f>
        <v>#NAME?</v>
      </c>
    </row>
    <row r="20" spans="1:7" s="34" customFormat="1" collapsed="1" x14ac:dyDescent="0.25">
      <c r="A20" s="35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3"/>
      <c r="B23" s="16" t="s">
        <v>291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7" t="e">
        <f ca="1">_xll.OneStop.ReportPlayer.OSRFunctions.OSRGet("CurrentDate","Date")</f>
        <v>#NAME?</v>
      </c>
      <c r="D38" s="13"/>
      <c r="E38" s="13"/>
      <c r="G38" s="13"/>
    </row>
    <row r="39" spans="1:7" x14ac:dyDescent="0.25">
      <c r="A39" s="5"/>
      <c r="B39" s="31" t="e">
        <f ca="1">_xll.OneStop.ReportPlayer.OSRFunctions.OSRGet("User","UserId")</f>
        <v>#NAME?</v>
      </c>
      <c r="D39" s="13"/>
      <c r="E39" s="13"/>
      <c r="G39" s="13"/>
    </row>
    <row r="40" spans="1:7" x14ac:dyDescent="0.25">
      <c r="A40" s="5"/>
      <c r="B40" s="26"/>
      <c r="D40" s="13"/>
      <c r="E40" s="13"/>
      <c r="G40" s="13"/>
    </row>
    <row r="41" spans="1:7" x14ac:dyDescent="0.25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46349D-0DF7-46D1-BBC9-F61893AD7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7748AE-489D-45C8-B5C8-A5D0B7E3A8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C89A0E-5F89-4E8D-B855-FC2FE07D2DE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19055</vt:i4>
      </vt:variant>
    </vt:vector>
  </HeadingPairs>
  <TitlesOfParts>
    <vt:vector size="19153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'313'!OSRRefD11_0x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'310 &amp; 491'!OSRRefD11_10x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'310 &amp; 491'!OSRRefD11_11x</vt:lpstr>
      <vt:lpstr>'311'!OSRRefD11_11x</vt:lpstr>
      <vt:lpstr>'315'!OSRRefD11_11x</vt:lpstr>
      <vt:lpstr>'316'!OSRRefD11_11x</vt:lpstr>
      <vt:lpstr>'317'!OSRRefD11_11x</vt:lpstr>
      <vt:lpstr>'326'!OSRRefD11_11x</vt:lpstr>
      <vt:lpstr>'330'!OSRRefD11_11x</vt:lpstr>
      <vt:lpstr>'331'!OSRRefD11_11x</vt:lpstr>
      <vt:lpstr>'332'!OSRRefD11_11x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'310 &amp; 491'!OSRRefD11_12x</vt:lpstr>
      <vt:lpstr>'311'!OSRRefD11_12x</vt:lpstr>
      <vt:lpstr>'315'!OSRRefD11_12x</vt:lpstr>
      <vt:lpstr>'317'!OSRRefD11_12x</vt:lpstr>
      <vt:lpstr>'326'!OSRRefD11_12x</vt:lpstr>
      <vt:lpstr>'330'!OSRRefD11_12x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'330'!OSRRefD11_13x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'317'!OSRRefD11_18x</vt:lpstr>
      <vt:lpstr>'326'!OSRRefD11_18x</vt:lpstr>
      <vt:lpstr>'331'!OSRRefD11_18x</vt:lpstr>
      <vt:lpstr>'Div 3'!OSRRefD11_18x</vt:lpstr>
      <vt:lpstr>'Div 6'!OSRRefD11_18x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'313'!OSRRefD11_1x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'420'!OSRRefD11_1x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'311'!OSRRefD11_20x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'308'!OSRRefD11_21x</vt:lpstr>
      <vt:lpstr>'311'!OSRRefD11_21x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'308'!OSRRefD11_22x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'313'!OSRRefD11_2x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'313'!OSRRefD11_3x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'300'!OSRRefD11_62x</vt:lpstr>
      <vt:lpstr>'300 &amp; 317'!OSRRefD11_62x</vt:lpstr>
      <vt:lpstr>'Div 3'!OSRRefD11_62x</vt:lpstr>
      <vt:lpstr>Summary!OSRRefD11_62x</vt:lpstr>
      <vt:lpstr>'300'!OSRRefD11_63x</vt:lpstr>
      <vt:lpstr>'300 &amp; 317'!OSRRefD11_63x</vt:lpstr>
      <vt:lpstr>'Div 3'!OSRRefD11_63x</vt:lpstr>
      <vt:lpstr>Summary!OSRRefD11_63x</vt:lpstr>
      <vt:lpstr>'300'!OSRRefD11_64x</vt:lpstr>
      <vt:lpstr>'300 &amp; 317'!OSRRefD11_64x</vt:lpstr>
      <vt:lpstr>'Div 3'!OSRRefD11_64x</vt:lpstr>
      <vt:lpstr>Summary!OSRRefD11_64x</vt:lpstr>
      <vt:lpstr>'300 &amp; 317'!OSRRefD11_65x</vt:lpstr>
      <vt:lpstr>'Div 3'!OSRRefD11_65x</vt:lpstr>
      <vt:lpstr>Summary!OSRRefD11_65x</vt:lpstr>
      <vt:lpstr>'300 &amp; 317'!OSRRefD11_66x</vt:lpstr>
      <vt:lpstr>'Div 3'!OSRRefD11_66x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'491'!OSRRefD11_6x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'300 &amp; 317'!OSRRefD11_76x</vt:lpstr>
      <vt:lpstr>Summary!OSRRefD11_76x</vt:lpstr>
      <vt:lpstr>'300 &amp; 317'!OSRRefD11_77x</vt:lpstr>
      <vt:lpstr>Summary!OSRRefD11_77x</vt:lpstr>
      <vt:lpstr>'300 &amp; 317'!OSRRefD11_78x</vt:lpstr>
      <vt:lpstr>Summary!OSRRefD11_78x</vt:lpstr>
      <vt:lpstr>'300 &amp; 317'!OSRRefD11_79x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Summary!OSRRefD11_82x</vt:lpstr>
      <vt:lpstr>Summary!OSRRefD11_83x</vt:lpstr>
      <vt:lpstr>Summary!OSRRefD11_84x</vt:lpstr>
      <vt:lpstr>Summary!OSRRefD11_85x</vt:lpstr>
      <vt:lpstr>Summary!OSRRefD11_86x</vt:lpstr>
      <vt:lpstr>Summary!OSRRefD11_87x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4'!OSRRefD11_8x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'310 &amp; 491'!OSRRefD11_9x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'313'!OSRRefD11x_0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'313'!OSRRefD11x_1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'313'!OSRRefD11x_2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'313'!OSRRefD11x_3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'313'!OSRRefD11x_4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'313'!OSRRefD11x_5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'313'!OSRRefD11x_6</vt:lpstr>
      <vt:lpstr>'315'!OSRRefD11x_6</vt:lpstr>
      <vt:lpstr>'316'!OSRRefD11x_6</vt:lpstr>
      <vt:lpstr>'317'!OSRRefD11x_6</vt:lpstr>
      <vt:lpstr>'321'!OSRRefD11x_6</vt:lpstr>
      <vt:lpstr>'322'!OSRRefD11x_6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'405'!OSRRefD11x_6</vt:lpstr>
      <vt:lpstr>'412'!OSRRefD11x_6</vt:lpstr>
      <vt:lpstr>'413'!OSRRefD11x_6</vt:lpstr>
      <vt:lpstr>'414'!OSRRefD11x_6</vt:lpstr>
      <vt:lpstr>'415'!OSRRefD11x_6</vt:lpstr>
      <vt:lpstr>'418'!OSRRefD11x_6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'313'!OSRRefD11x_7</vt:lpstr>
      <vt:lpstr>'315'!OSRRefD11x_7</vt:lpstr>
      <vt:lpstr>'316'!OSRRefD11x_7</vt:lpstr>
      <vt:lpstr>'317'!OSRRefD11x_7</vt:lpstr>
      <vt:lpstr>'321'!OSRRefD11x_7</vt:lpstr>
      <vt:lpstr>'322'!OSRRefD11x_7</vt:lpstr>
      <vt:lpstr>'324'!OSRRefD11x_7</vt:lpstr>
      <vt:lpstr>'326'!OSRRefD11x_7</vt:lpstr>
      <vt:lpstr>'327'!OSRRefD11x_7</vt:lpstr>
      <vt:lpstr>'330'!OSRRefD11x_7</vt:lpstr>
      <vt:lpstr>'331'!OSRRefD11x_7</vt:lpstr>
      <vt:lpstr>'332'!OSRRefD11x_7</vt:lpstr>
      <vt:lpstr>'405'!OSRRefD11x_7</vt:lpstr>
      <vt:lpstr>'412'!OSRRefD11x_7</vt:lpstr>
      <vt:lpstr>'413'!OSRRefD11x_7</vt:lpstr>
      <vt:lpstr>'414'!OSRRefD11x_7</vt:lpstr>
      <vt:lpstr>'415'!OSRRefD11x_7</vt:lpstr>
      <vt:lpstr>'418'!OSRRefD11x_7</vt:lpstr>
      <vt:lpstr>'420'!OSRRefD11x_7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'313'!OSRRefD11x_8</vt:lpstr>
      <vt:lpstr>'315'!OSRRefD11x_8</vt:lpstr>
      <vt:lpstr>'316'!OSRRefD11x_8</vt:lpstr>
      <vt:lpstr>'317'!OSRRefD11x_8</vt:lpstr>
      <vt:lpstr>'321'!OSRRefD11x_8</vt:lpstr>
      <vt:lpstr>'322'!OSRRefD11x_8</vt:lpstr>
      <vt:lpstr>'324'!OSRRefD11x_8</vt:lpstr>
      <vt:lpstr>'326'!OSRRefD11x_8</vt:lpstr>
      <vt:lpstr>'327'!OSRRefD11x_8</vt:lpstr>
      <vt:lpstr>'330'!OSRRefD11x_8</vt:lpstr>
      <vt:lpstr>'331'!OSRRefD11x_8</vt:lpstr>
      <vt:lpstr>'332'!OSRRefD11x_8</vt:lpstr>
      <vt:lpstr>'405'!OSRRefD11x_8</vt:lpstr>
      <vt:lpstr>'412'!OSRRefD11x_8</vt:lpstr>
      <vt:lpstr>'413'!OSRRefD11x_8</vt:lpstr>
      <vt:lpstr>'414'!OSRRefD11x_8</vt:lpstr>
      <vt:lpstr>'415'!OSRRefD11x_8</vt:lpstr>
      <vt:lpstr>'418'!OSRRefD11x_8</vt:lpstr>
      <vt:lpstr>'420'!OSRRefD11x_8</vt:lpstr>
      <vt:lpstr>'433'!OSRRefD11x_8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'300'!OSRRefD11x_9</vt:lpstr>
      <vt:lpstr>'300 &amp; 317'!OSRRefD11x_9</vt:lpstr>
      <vt:lpstr>'307'!OSRRefD11x_9</vt:lpstr>
      <vt:lpstr>'308'!OSRRefD11x_9</vt:lpstr>
      <vt:lpstr>'309'!OSRRefD11x_9</vt:lpstr>
      <vt:lpstr>'310'!OSRRefD11x_9</vt:lpstr>
      <vt:lpstr>'310 &amp; 491'!OSRRefD11x_9</vt:lpstr>
      <vt:lpstr>'311'!OSRRefD11x_9</vt:lpstr>
      <vt:lpstr>'313'!OSRRefD11x_9</vt:lpstr>
      <vt:lpstr>'315'!OSRRefD11x_9</vt:lpstr>
      <vt:lpstr>'316'!OSRRefD11x_9</vt:lpstr>
      <vt:lpstr>'317'!OSRRefD11x_9</vt:lpstr>
      <vt:lpstr>'321'!OSRRefD11x_9</vt:lpstr>
      <vt:lpstr>'322'!OSRRefD11x_9</vt:lpstr>
      <vt:lpstr>'324'!OSRRefD11x_9</vt:lpstr>
      <vt:lpstr>'326'!OSRRefD11x_9</vt:lpstr>
      <vt:lpstr>'327'!OSRRefD11x_9</vt:lpstr>
      <vt:lpstr>'330'!OSRRefD11x_9</vt:lpstr>
      <vt:lpstr>'331'!OSRRefD11x_9</vt:lpstr>
      <vt:lpstr>'332'!OSRRefD11x_9</vt:lpstr>
      <vt:lpstr>'405'!OSRRefD11x_9</vt:lpstr>
      <vt:lpstr>'412'!OSRRefD11x_9</vt:lpstr>
      <vt:lpstr>'413'!OSRRefD11x_9</vt:lpstr>
      <vt:lpstr>'414'!OSRRefD11x_9</vt:lpstr>
      <vt:lpstr>'415'!OSRRefD11x_9</vt:lpstr>
      <vt:lpstr>'418'!OSRRefD11x_9</vt:lpstr>
      <vt:lpstr>'420'!OSRRefD11x_9</vt:lpstr>
      <vt:lpstr>'433'!OSRRefD11x_9</vt:lpstr>
      <vt:lpstr>'444'!OSRRefD11x_9</vt:lpstr>
      <vt:lpstr>'450'!OSRRefD11x_9</vt:lpstr>
      <vt:lpstr>'491'!OSRRefD11x_9</vt:lpstr>
      <vt:lpstr>'492'!OSRRefD11x_9</vt:lpstr>
      <vt:lpstr>'501'!OSRRefD11x_9</vt:lpstr>
      <vt:lpstr>'Div 3'!OSRRefD11x_9</vt:lpstr>
      <vt:lpstr>'Div 4'!OSRRefD11x_9</vt:lpstr>
      <vt:lpstr>'Div 5'!OSRRefD11x_9</vt:lpstr>
      <vt:lpstr>'Div 6'!OSRRefD11x_9</vt:lpstr>
      <vt:lpstr>Summary!OSRRefD11x_9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'317'!OSRRefD14_12x</vt:lpstr>
      <vt:lpstr>'331'!OSRRefD14_12x</vt:lpstr>
      <vt:lpstr>'Div 3'!OSRRefD14_12x</vt:lpstr>
      <vt:lpstr>'Div 6'!OSRRefD14_12x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'317'!OSRRefD14_13x</vt:lpstr>
      <vt:lpstr>'331'!OSRRefD14_13x</vt:lpstr>
      <vt:lpstr>'Div 3'!OSRRefD14_13x</vt:lpstr>
      <vt:lpstr>'Div 6'!OSRRefD14_13x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'308'!OSRRefD14_15x</vt:lpstr>
      <vt:lpstr>'311'!OSRRefD14_15x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'321'!OSRRefD14_1x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'405'!OSRRefD14_1x</vt:lpstr>
      <vt:lpstr>'414'!OSRRefD14_1x</vt:lpstr>
      <vt:lpstr>'415'!OSRRefD14_1x</vt:lpstr>
      <vt:lpstr>'418'!OSRRefD14_1x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'315'!OSRRefD14_22x</vt:lpstr>
      <vt:lpstr>'331'!OSRRefD14_22x</vt:lpstr>
      <vt:lpstr>'Div 3'!OSRRefD14_22x</vt:lpstr>
      <vt:lpstr>Summary!OSRRefD14_22x</vt:lpstr>
      <vt:lpstr>'300'!OSRRefD14_23x</vt:lpstr>
      <vt:lpstr>'300 &amp; 317'!OSRRefD14_23x</vt:lpstr>
      <vt:lpstr>'331'!OSRRefD14_23x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'300'!OSRRefD14_34x</vt:lpstr>
      <vt:lpstr>'300 &amp; 317'!OSRRefD14_34x</vt:lpstr>
      <vt:lpstr>'Div 3'!OSRRefD14_34x</vt:lpstr>
      <vt:lpstr>Summary!OSRRefD14_34x</vt:lpstr>
      <vt:lpstr>'300'!OSRRefD14_35x</vt:lpstr>
      <vt:lpstr>'300 &amp; 317'!OSRRefD14_35x</vt:lpstr>
      <vt:lpstr>'Div 3'!OSRRefD14_35x</vt:lpstr>
      <vt:lpstr>Summary!OSRRefD14_35x</vt:lpstr>
      <vt:lpstr>'300'!OSRRefD14_36x</vt:lpstr>
      <vt:lpstr>'300 &amp; 317'!OSRRefD14_36x</vt:lpstr>
      <vt:lpstr>'Div 3'!OSRRefD14_36x</vt:lpstr>
      <vt:lpstr>Summary!OSRRefD14_36x</vt:lpstr>
      <vt:lpstr>'300'!OSRRefD14_37x</vt:lpstr>
      <vt:lpstr>'300 &amp; 317'!OSRRefD14_37x</vt:lpstr>
      <vt:lpstr>'Div 3'!OSRRefD14_37x</vt:lpstr>
      <vt:lpstr>Summary!OSRRefD14_37x</vt:lpstr>
      <vt:lpstr>'300'!OSRRefD14_38x</vt:lpstr>
      <vt:lpstr>'300 &amp; 317'!OSRRefD14_38x</vt:lpstr>
      <vt:lpstr>'Div 3'!OSRRefD14_38x</vt:lpstr>
      <vt:lpstr>Summary!OSRRefD14_38x</vt:lpstr>
      <vt:lpstr>'300 &amp; 317'!OSRRefD14_39x</vt:lpstr>
      <vt:lpstr>'Div 3'!OSRRefD14_39x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'Div 3'!OSRRefD14_40x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'300 &amp; 317'!OSRRefD14_43x</vt:lpstr>
      <vt:lpstr>Summary!OSRRefD14_43x</vt:lpstr>
      <vt:lpstr>'300 &amp; 317'!OSRRefD14_44x</vt:lpstr>
      <vt:lpstr>Summary!OSRRefD14_44x</vt:lpstr>
      <vt:lpstr>'300 &amp; 317'!OSRRefD14_45x</vt:lpstr>
      <vt:lpstr>Summary!OSRRefD14_45x</vt:lpstr>
      <vt:lpstr>'300 &amp; 317'!OSRRefD14_46x</vt:lpstr>
      <vt:lpstr>Summary!OSRRefD14_46x</vt:lpstr>
      <vt:lpstr>'300 &amp; 317'!OSRRefD14_47x</vt:lpstr>
      <vt:lpstr>Summary!OSRRefD14_47x</vt:lpstr>
      <vt:lpstr>Summary!OSRRefD14_48x</vt:lpstr>
      <vt:lpstr>Summary!OSRRefD14_49x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'326'!OSRRefD14_5x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'326'!OSRRefD14_6x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'332'!OSRRefD14x_5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'332'!OSRRefD14x_6</vt:lpstr>
      <vt:lpstr>'405'!OSRRefD14x_6</vt:lpstr>
      <vt:lpstr>'412'!OSRRefD14x_6</vt:lpstr>
      <vt:lpstr>'413'!OSRRefD14x_6</vt:lpstr>
      <vt:lpstr>'414'!OSRRefD14x_6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'313'!OSRRefD14x_7</vt:lpstr>
      <vt:lpstr>'315'!OSRRefD14x_7</vt:lpstr>
      <vt:lpstr>'317'!OSRRefD14x_7</vt:lpstr>
      <vt:lpstr>'321'!OSRRefD14x_7</vt:lpstr>
      <vt:lpstr>'322'!OSRRefD14x_7</vt:lpstr>
      <vt:lpstr>'324'!OSRRefD14x_7</vt:lpstr>
      <vt:lpstr>'325'!OSRRefD14x_7</vt:lpstr>
      <vt:lpstr>'326'!OSRRefD14x_7</vt:lpstr>
      <vt:lpstr>'327'!OSRRefD14x_7</vt:lpstr>
      <vt:lpstr>'330'!OSRRefD14x_7</vt:lpstr>
      <vt:lpstr>'331'!OSRRefD14x_7</vt:lpstr>
      <vt:lpstr>'332'!OSRRefD14x_7</vt:lpstr>
      <vt:lpstr>'405'!OSRRefD14x_7</vt:lpstr>
      <vt:lpstr>'412'!OSRRefD14x_7</vt:lpstr>
      <vt:lpstr>'413'!OSRRefD14x_7</vt:lpstr>
      <vt:lpstr>'414'!OSRRefD14x_7</vt:lpstr>
      <vt:lpstr>'415'!OSRRefD14x_7</vt:lpstr>
      <vt:lpstr>'418'!OSRRefD14x_7</vt:lpstr>
      <vt:lpstr>'425'!OSRRefD14x_7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'313'!OSRRefD14x_8</vt:lpstr>
      <vt:lpstr>'315'!OSRRefD14x_8</vt:lpstr>
      <vt:lpstr>'317'!OSRRefD14x_8</vt:lpstr>
      <vt:lpstr>'321'!OSRRefD14x_8</vt:lpstr>
      <vt:lpstr>'322'!OSRRefD14x_8</vt:lpstr>
      <vt:lpstr>'324'!OSRRefD14x_8</vt:lpstr>
      <vt:lpstr>'325'!OSRRefD14x_8</vt:lpstr>
      <vt:lpstr>'326'!OSRRefD14x_8</vt:lpstr>
      <vt:lpstr>'327'!OSRRefD14x_8</vt:lpstr>
      <vt:lpstr>'330'!OSRRefD14x_8</vt:lpstr>
      <vt:lpstr>'331'!OSRRefD14x_8</vt:lpstr>
      <vt:lpstr>'332'!OSRRefD14x_8</vt:lpstr>
      <vt:lpstr>'405'!OSRRefD14x_8</vt:lpstr>
      <vt:lpstr>'412'!OSRRefD14x_8</vt:lpstr>
      <vt:lpstr>'413'!OSRRefD14x_8</vt:lpstr>
      <vt:lpstr>'414'!OSRRefD14x_8</vt:lpstr>
      <vt:lpstr>'415'!OSRRefD14x_8</vt:lpstr>
      <vt:lpstr>'418'!OSRRefD14x_8</vt:lpstr>
      <vt:lpstr>'425'!OSRRefD14x_8</vt:lpstr>
      <vt:lpstr>'433'!OSRRefD14x_8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'300'!OSRRefD14x_9</vt:lpstr>
      <vt:lpstr>'300 &amp; 317'!OSRRefD14x_9</vt:lpstr>
      <vt:lpstr>'301'!OSRRefD14x_9</vt:lpstr>
      <vt:lpstr>'307'!OSRRefD14x_9</vt:lpstr>
      <vt:lpstr>'308'!OSRRefD14x_9</vt:lpstr>
      <vt:lpstr>'309'!OSRRefD14x_9</vt:lpstr>
      <vt:lpstr>'310'!OSRRefD14x_9</vt:lpstr>
      <vt:lpstr>'310 &amp; 491'!OSRRefD14x_9</vt:lpstr>
      <vt:lpstr>'311'!OSRRefD14x_9</vt:lpstr>
      <vt:lpstr>'313'!OSRRefD14x_9</vt:lpstr>
      <vt:lpstr>'315'!OSRRefD14x_9</vt:lpstr>
      <vt:lpstr>'317'!OSRRefD14x_9</vt:lpstr>
      <vt:lpstr>'321'!OSRRefD14x_9</vt:lpstr>
      <vt:lpstr>'322'!OSRRefD14x_9</vt:lpstr>
      <vt:lpstr>'324'!OSRRefD14x_9</vt:lpstr>
      <vt:lpstr>'325'!OSRRefD14x_9</vt:lpstr>
      <vt:lpstr>'326'!OSRRefD14x_9</vt:lpstr>
      <vt:lpstr>'327'!OSRRefD14x_9</vt:lpstr>
      <vt:lpstr>'330'!OSRRefD14x_9</vt:lpstr>
      <vt:lpstr>'331'!OSRRefD14x_9</vt:lpstr>
      <vt:lpstr>'332'!OSRRefD14x_9</vt:lpstr>
      <vt:lpstr>'405'!OSRRefD14x_9</vt:lpstr>
      <vt:lpstr>'412'!OSRRefD14x_9</vt:lpstr>
      <vt:lpstr>'413'!OSRRefD14x_9</vt:lpstr>
      <vt:lpstr>'414'!OSRRefD14x_9</vt:lpstr>
      <vt:lpstr>'415'!OSRRefD14x_9</vt:lpstr>
      <vt:lpstr>'418'!OSRRefD14x_9</vt:lpstr>
      <vt:lpstr>'425'!OSRRefD14x_9</vt:lpstr>
      <vt:lpstr>'433'!OSRRefD14x_9</vt:lpstr>
      <vt:lpstr>'444'!OSRRefD14x_9</vt:lpstr>
      <vt:lpstr>'450'!OSRRefD14x_9</vt:lpstr>
      <vt:lpstr>'491'!OSRRefD14x_9</vt:lpstr>
      <vt:lpstr>'492'!OSRRefD14x_9</vt:lpstr>
      <vt:lpstr>'Div 3'!OSRRefD14x_9</vt:lpstr>
      <vt:lpstr>'Div 4'!OSRRefD14x_9</vt:lpstr>
      <vt:lpstr>'Div 6'!OSRRefD14x_9</vt:lpstr>
      <vt:lpstr>Summary!OSRRefD14x_9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'306'!OSRRefD20_0x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'Div 2'!OSRRefD20_12x</vt:lpstr>
      <vt:lpstr>'Div 3'!OSRRefD20_12x</vt:lpstr>
      <vt:lpstr>'Div 4'!OSRRefD20_12x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'317'!OSRRefD20_13x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'Div 2'!OSRRefD20_13x</vt:lpstr>
      <vt:lpstr>'Div 3'!OSRRefD20_13x</vt:lpstr>
      <vt:lpstr>'Div 4'!OSRRefD20_13x</vt:lpstr>
      <vt:lpstr>'Div 6'!OSRRefD20_13x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'326'!OSRRefD20_15x</vt:lpstr>
      <vt:lpstr>'331'!OSRRefD20_15x</vt:lpstr>
      <vt:lpstr>'405'!OSRRefD20_15x</vt:lpstr>
      <vt:lpstr>'411'!OSRRefD20_15x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'444'!OSRRefD20_17x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'306'!OSRRefD20_1x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'327'!OSRRefD20_1x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'420'!OSRRefD20_1x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'306'!OSRRefD20_2x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'306'!OSRRefD20_3x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'306'!OSRRefD20_4x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'306'!OSRRefD20_5x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'306'!OSRRefD20_6x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'306'!OSRRefD20_7x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'306'!OSRRefD20_8x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'306'!OSRRefD20x_0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'306'!OSRRefD20x_1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'306'!OSRRefD20x_2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'306'!OSRRefD20x_3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'306'!OSRRefD20x_4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'306'!OSRRefD20x_5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'306'!OSRRefD20x_6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'324'!OSRRefD20x_6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'306'!OSRRefD20x_7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'324'!OSRRefD20x_7</vt:lpstr>
      <vt:lpstr>'325'!OSRRefD20x_7</vt:lpstr>
      <vt:lpstr>'326'!OSRRefD20x_7</vt:lpstr>
      <vt:lpstr>'327'!OSRRefD20x_7</vt:lpstr>
      <vt:lpstr>'330'!OSRRefD20x_7</vt:lpstr>
      <vt:lpstr>'331'!OSRRefD20x_7</vt:lpstr>
      <vt:lpstr>'332'!OSRRefD20x_7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'420'!OSRRefD20x_7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'306'!OSRRefD20x_8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'324'!OSRRefD20x_8</vt:lpstr>
      <vt:lpstr>'325'!OSRRefD20x_8</vt:lpstr>
      <vt:lpstr>'326'!OSRRefD20x_8</vt:lpstr>
      <vt:lpstr>'327'!OSRRefD20x_8</vt:lpstr>
      <vt:lpstr>'330'!OSRRefD20x_8</vt:lpstr>
      <vt:lpstr>'331'!OSRRefD20x_8</vt:lpstr>
      <vt:lpstr>'332'!OSRRefD20x_8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'420'!OSRRefD20x_8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'200'!OSRRefD20x_9</vt:lpstr>
      <vt:lpstr>'201'!OSRRefD20x_9</vt:lpstr>
      <vt:lpstr>'202'!OSRRefD20x_9</vt:lpstr>
      <vt:lpstr>'203'!OSRRefD20x_9</vt:lpstr>
      <vt:lpstr>'204'!OSRRefD20x_9</vt:lpstr>
      <vt:lpstr>'205'!OSRRefD20x_9</vt:lpstr>
      <vt:lpstr>'206'!OSRRefD20x_9</vt:lpstr>
      <vt:lpstr>'300'!OSRRefD20x_9</vt:lpstr>
      <vt:lpstr>'300 &amp; 317'!OSRRefD20x_9</vt:lpstr>
      <vt:lpstr>'301'!OSRRefD20x_9</vt:lpstr>
      <vt:lpstr>'306'!OSRRefD20x_9</vt:lpstr>
      <vt:lpstr>'307'!OSRRefD20x_9</vt:lpstr>
      <vt:lpstr>'308'!OSRRefD20x_9</vt:lpstr>
      <vt:lpstr>'309'!OSRRefD20x_9</vt:lpstr>
      <vt:lpstr>'310'!OSRRefD20x_9</vt:lpstr>
      <vt:lpstr>'310 &amp; 491'!OSRRefD20x_9</vt:lpstr>
      <vt:lpstr>'311'!OSRRefD20x_9</vt:lpstr>
      <vt:lpstr>'313'!OSRRefD20x_9</vt:lpstr>
      <vt:lpstr>'315'!OSRRefD20x_9</vt:lpstr>
      <vt:lpstr>'316'!OSRRefD20x_9</vt:lpstr>
      <vt:lpstr>'317'!OSRRefD20x_9</vt:lpstr>
      <vt:lpstr>'321'!OSRRefD20x_9</vt:lpstr>
      <vt:lpstr>'322'!OSRRefD20x_9</vt:lpstr>
      <vt:lpstr>'324'!OSRRefD20x_9</vt:lpstr>
      <vt:lpstr>'325'!OSRRefD20x_9</vt:lpstr>
      <vt:lpstr>'326'!OSRRefD20x_9</vt:lpstr>
      <vt:lpstr>'327'!OSRRefD20x_9</vt:lpstr>
      <vt:lpstr>'330'!OSRRefD20x_9</vt:lpstr>
      <vt:lpstr>'331'!OSRRefD20x_9</vt:lpstr>
      <vt:lpstr>'332'!OSRRefD20x_9</vt:lpstr>
      <vt:lpstr>'405'!OSRRefD20x_9</vt:lpstr>
      <vt:lpstr>'406'!OSRRefD20x_9</vt:lpstr>
      <vt:lpstr>'411'!OSRRefD20x_9</vt:lpstr>
      <vt:lpstr>'412'!OSRRefD20x_9</vt:lpstr>
      <vt:lpstr>'413'!OSRRefD20x_9</vt:lpstr>
      <vt:lpstr>'414'!OSRRefD20x_9</vt:lpstr>
      <vt:lpstr>'415'!OSRRefD20x_9</vt:lpstr>
      <vt:lpstr>'418'!OSRRefD20x_9</vt:lpstr>
      <vt:lpstr>'420'!OSRRefD20x_9</vt:lpstr>
      <vt:lpstr>'423'!OSRRefD20x_9</vt:lpstr>
      <vt:lpstr>'424'!OSRRefD20x_9</vt:lpstr>
      <vt:lpstr>'425'!OSRRefD20x_9</vt:lpstr>
      <vt:lpstr>'430'!OSRRefD20x_9</vt:lpstr>
      <vt:lpstr>'433'!OSRRefD20x_9</vt:lpstr>
      <vt:lpstr>'435'!OSRRefD20x_9</vt:lpstr>
      <vt:lpstr>'444'!OSRRefD20x_9</vt:lpstr>
      <vt:lpstr>'450'!OSRRefD20x_9</vt:lpstr>
      <vt:lpstr>'491'!OSRRefD20x_9</vt:lpstr>
      <vt:lpstr>'492'!OSRRefD20x_9</vt:lpstr>
      <vt:lpstr>'501'!OSRRefD20x_9</vt:lpstr>
      <vt:lpstr>'Div 2'!OSRRefD20x_9</vt:lpstr>
      <vt:lpstr>'Div 3'!OSRRefD20x_9</vt:lpstr>
      <vt:lpstr>'Div 4'!OSRRefD20x_9</vt:lpstr>
      <vt:lpstr>'Div 5'!OSRRefD20x_9</vt:lpstr>
      <vt:lpstr>'Div 6'!OSRRefD20x_9</vt:lpstr>
      <vt:lpstr>Summary!OSRRefD20x_9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'306'!OSRRefD21_0_0x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'306'!OSRRefD21_0_1x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'306'!OSRRefD21_0_2x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'306'!OSRRefD21_0_3x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'306'!OSRRefD21_0_4x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'306'!OSRRefD21_0_5x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'306'!OSRRefD21_0_6x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'306'!OSRRefD21_0_7x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'306'!OSRRefD21_0_8x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'330'!OSRRefD21_0_8x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'306'!OSRRefD21_0x_0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'306'!OSRRefD21_0x_1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'306'!OSRRefD21_0x_2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'306'!OSRRefD21_0x_3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'306'!OSRRefD21_0x_4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'306'!OSRRefD21_0x_5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'306'!OSRRefD21_0x_6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'324'!OSRRefD21_0x_6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'306'!OSRRefD21_0x_7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'324'!OSRRefD21_0x_7</vt:lpstr>
      <vt:lpstr>'325'!OSRRefD21_0x_7</vt:lpstr>
      <vt:lpstr>'326'!OSRRefD21_0x_7</vt:lpstr>
      <vt:lpstr>'327'!OSRRefD21_0x_7</vt:lpstr>
      <vt:lpstr>'330'!OSRRefD21_0x_7</vt:lpstr>
      <vt:lpstr>'331'!OSRRefD21_0x_7</vt:lpstr>
      <vt:lpstr>'332'!OSRRefD21_0x_7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'420'!OSRRefD21_0x_7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'306'!OSRRefD21_0x_8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'324'!OSRRefD21_0x_8</vt:lpstr>
      <vt:lpstr>'325'!OSRRefD21_0x_8</vt:lpstr>
      <vt:lpstr>'326'!OSRRefD21_0x_8</vt:lpstr>
      <vt:lpstr>'327'!OSRRefD21_0x_8</vt:lpstr>
      <vt:lpstr>'330'!OSRRefD21_0x_8</vt:lpstr>
      <vt:lpstr>'331'!OSRRefD21_0x_8</vt:lpstr>
      <vt:lpstr>'332'!OSRRefD21_0x_8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'420'!OSRRefD21_0x_8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'200'!OSRRefD21_0x_9</vt:lpstr>
      <vt:lpstr>'201'!OSRRefD21_0x_9</vt:lpstr>
      <vt:lpstr>'202'!OSRRefD21_0x_9</vt:lpstr>
      <vt:lpstr>'203'!OSRRefD21_0x_9</vt:lpstr>
      <vt:lpstr>'204'!OSRRefD21_0x_9</vt:lpstr>
      <vt:lpstr>'205'!OSRRefD21_0x_9</vt:lpstr>
      <vt:lpstr>'206'!OSRRefD21_0x_9</vt:lpstr>
      <vt:lpstr>'300'!OSRRefD21_0x_9</vt:lpstr>
      <vt:lpstr>'300 &amp; 317'!OSRRefD21_0x_9</vt:lpstr>
      <vt:lpstr>'301'!OSRRefD21_0x_9</vt:lpstr>
      <vt:lpstr>'306'!OSRRefD21_0x_9</vt:lpstr>
      <vt:lpstr>'307'!OSRRefD21_0x_9</vt:lpstr>
      <vt:lpstr>'308'!OSRRefD21_0x_9</vt:lpstr>
      <vt:lpstr>'309'!OSRRefD21_0x_9</vt:lpstr>
      <vt:lpstr>'310'!OSRRefD21_0x_9</vt:lpstr>
      <vt:lpstr>'310 &amp; 491'!OSRRefD21_0x_9</vt:lpstr>
      <vt:lpstr>'311'!OSRRefD21_0x_9</vt:lpstr>
      <vt:lpstr>'313'!OSRRefD21_0x_9</vt:lpstr>
      <vt:lpstr>'315'!OSRRefD21_0x_9</vt:lpstr>
      <vt:lpstr>'316'!OSRRefD21_0x_9</vt:lpstr>
      <vt:lpstr>'317'!OSRRefD21_0x_9</vt:lpstr>
      <vt:lpstr>'321'!OSRRefD21_0x_9</vt:lpstr>
      <vt:lpstr>'322'!OSRRefD21_0x_9</vt:lpstr>
      <vt:lpstr>'324'!OSRRefD21_0x_9</vt:lpstr>
      <vt:lpstr>'325'!OSRRefD21_0x_9</vt:lpstr>
      <vt:lpstr>'326'!OSRRefD21_0x_9</vt:lpstr>
      <vt:lpstr>'327'!OSRRefD21_0x_9</vt:lpstr>
      <vt:lpstr>'330'!OSRRefD21_0x_9</vt:lpstr>
      <vt:lpstr>'331'!OSRRefD21_0x_9</vt:lpstr>
      <vt:lpstr>'332'!OSRRefD21_0x_9</vt:lpstr>
      <vt:lpstr>'405'!OSRRefD21_0x_9</vt:lpstr>
      <vt:lpstr>'406'!OSRRefD21_0x_9</vt:lpstr>
      <vt:lpstr>'411'!OSRRefD21_0x_9</vt:lpstr>
      <vt:lpstr>'412'!OSRRefD21_0x_9</vt:lpstr>
      <vt:lpstr>'413'!OSRRefD21_0x_9</vt:lpstr>
      <vt:lpstr>'414'!OSRRefD21_0x_9</vt:lpstr>
      <vt:lpstr>'415'!OSRRefD21_0x_9</vt:lpstr>
      <vt:lpstr>'418'!OSRRefD21_0x_9</vt:lpstr>
      <vt:lpstr>'420'!OSRRefD21_0x_9</vt:lpstr>
      <vt:lpstr>'423'!OSRRefD21_0x_9</vt:lpstr>
      <vt:lpstr>'424'!OSRRefD21_0x_9</vt:lpstr>
      <vt:lpstr>'425'!OSRRefD21_0x_9</vt:lpstr>
      <vt:lpstr>'430'!OSRRefD21_0x_9</vt:lpstr>
      <vt:lpstr>'433'!OSRRefD21_0x_9</vt:lpstr>
      <vt:lpstr>'435'!OSRRefD21_0x_9</vt:lpstr>
      <vt:lpstr>'444'!OSRRefD21_0x_9</vt:lpstr>
      <vt:lpstr>'450'!OSRRefD21_0x_9</vt:lpstr>
      <vt:lpstr>'491'!OSRRefD21_0x_9</vt:lpstr>
      <vt:lpstr>'492'!OSRRefD21_0x_9</vt:lpstr>
      <vt:lpstr>'501'!OSRRefD21_0x_9</vt:lpstr>
      <vt:lpstr>'Div 2'!OSRRefD21_0x_9</vt:lpstr>
      <vt:lpstr>'Div 3'!OSRRefD21_0x_9</vt:lpstr>
      <vt:lpstr>'Div 4'!OSRRefD21_0x_9</vt:lpstr>
      <vt:lpstr>'Div 5'!OSRRefD21_0x_9</vt:lpstr>
      <vt:lpstr>'Div 6'!OSRRefD21_0x_9</vt:lpstr>
      <vt:lpstr>Summary!OSRRefD21_0x_9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'306'!OSRRefD21_1_0x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'327'!OSRRefD21_1_0x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'420'!OSRRefD21_1_0x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'306'!OSRRefD21_1_1x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'306'!OSRRefD21_1_2x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'306'!OSRRefD21_1_3x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'306'!OSRRefD21_1_4x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'306'!OSRRefD21_1_5x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'306'!OSRRefD21_1_6x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'306'!OSRRefD21_1_7x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'306'!OSRRefD21_1_8x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'306'!OSRRefD21_1_9x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'321'!OSRRefD21_10_1x</vt:lpstr>
      <vt:lpstr>'325'!OSRRefD21_10_1x</vt:lpstr>
      <vt:lpstr>'330'!OSRRefD21_10_1x</vt:lpstr>
      <vt:lpstr>'331'!OSRRefD21_10_1x</vt:lpstr>
      <vt:lpstr>'411'!OSRRefD21_10_1x</vt:lpstr>
      <vt:lpstr>'412'!OSRRefD21_10_1x</vt:lpstr>
      <vt:lpstr>'501'!OSRRefD21_10_1x</vt:lpstr>
      <vt:lpstr>'Div 3'!OSRRefD21_10_1x</vt:lpstr>
      <vt:lpstr>'Div 5'!OSRRefD21_10_1x</vt:lpstr>
      <vt:lpstr>Summary!OSRRefD21_10_1x</vt:lpstr>
      <vt:lpstr>'307'!OSRRefD21_10_2x</vt:lpstr>
      <vt:lpstr>'330'!OSRRefD21_10_2x</vt:lpstr>
      <vt:lpstr>'411'!OSRRefD21_10_2x</vt:lpstr>
      <vt:lpstr>'412'!OSRRefD21_10_2x</vt:lpstr>
      <vt:lpstr>'411'!OSRRefD21_10_3x</vt:lpstr>
      <vt:lpstr>'412'!OSRRefD21_10_3x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'204'!OSRRefD21_10x_6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'322'!OSRRefD21_10x_6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'405'!OSRRefD21_10x_6</vt:lpstr>
      <vt:lpstr>'411'!OSRRefD21_10x_6</vt:lpstr>
      <vt:lpstr>'412'!OSRRefD21_10x_6</vt:lpstr>
      <vt:lpstr>'414'!OSRRefD21_10x_6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'204'!OSRRefD21_10x_7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'322'!OSRRefD21_10x_7</vt:lpstr>
      <vt:lpstr>'325'!OSRRefD21_10x_7</vt:lpstr>
      <vt:lpstr>'326'!OSRRefD21_10x_7</vt:lpstr>
      <vt:lpstr>'330'!OSRRefD21_10x_7</vt:lpstr>
      <vt:lpstr>'331'!OSRRefD21_10x_7</vt:lpstr>
      <vt:lpstr>'332'!OSRRefD21_10x_7</vt:lpstr>
      <vt:lpstr>'405'!OSRRefD21_10x_7</vt:lpstr>
      <vt:lpstr>'411'!OSRRefD21_10x_7</vt:lpstr>
      <vt:lpstr>'412'!OSRRefD21_10x_7</vt:lpstr>
      <vt:lpstr>'414'!OSRRefD21_10x_7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'204'!OSRRefD21_10x_8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'322'!OSRRefD21_10x_8</vt:lpstr>
      <vt:lpstr>'325'!OSRRefD21_10x_8</vt:lpstr>
      <vt:lpstr>'326'!OSRRefD21_10x_8</vt:lpstr>
      <vt:lpstr>'330'!OSRRefD21_10x_8</vt:lpstr>
      <vt:lpstr>'331'!OSRRefD21_10x_8</vt:lpstr>
      <vt:lpstr>'332'!OSRRefD21_10x_8</vt:lpstr>
      <vt:lpstr>'405'!OSRRefD21_10x_8</vt:lpstr>
      <vt:lpstr>'411'!OSRRefD21_10x_8</vt:lpstr>
      <vt:lpstr>'412'!OSRRefD21_10x_8</vt:lpstr>
      <vt:lpstr>'414'!OSRRefD21_10x_8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'201'!OSRRefD21_10x_9</vt:lpstr>
      <vt:lpstr>'202'!OSRRefD21_10x_9</vt:lpstr>
      <vt:lpstr>'203'!OSRRefD21_10x_9</vt:lpstr>
      <vt:lpstr>'204'!OSRRefD21_10x_9</vt:lpstr>
      <vt:lpstr>'300'!OSRRefD21_10x_9</vt:lpstr>
      <vt:lpstr>'300 &amp; 317'!OSRRefD21_10x_9</vt:lpstr>
      <vt:lpstr>'301'!OSRRefD21_10x_9</vt:lpstr>
      <vt:lpstr>'307'!OSRRefD21_10x_9</vt:lpstr>
      <vt:lpstr>'308'!OSRRefD21_10x_9</vt:lpstr>
      <vt:lpstr>'309'!OSRRefD21_10x_9</vt:lpstr>
      <vt:lpstr>'310'!OSRRefD21_10x_9</vt:lpstr>
      <vt:lpstr>'310 &amp; 491'!OSRRefD21_10x_9</vt:lpstr>
      <vt:lpstr>'311'!OSRRefD21_10x_9</vt:lpstr>
      <vt:lpstr>'315'!OSRRefD21_10x_9</vt:lpstr>
      <vt:lpstr>'316'!OSRRefD21_10x_9</vt:lpstr>
      <vt:lpstr>'317'!OSRRefD21_10x_9</vt:lpstr>
      <vt:lpstr>'321'!OSRRefD21_10x_9</vt:lpstr>
      <vt:lpstr>'322'!OSRRefD21_10x_9</vt:lpstr>
      <vt:lpstr>'325'!OSRRefD21_10x_9</vt:lpstr>
      <vt:lpstr>'326'!OSRRefD21_10x_9</vt:lpstr>
      <vt:lpstr>'330'!OSRRefD21_10x_9</vt:lpstr>
      <vt:lpstr>'331'!OSRRefD21_10x_9</vt:lpstr>
      <vt:lpstr>'332'!OSRRefD21_10x_9</vt:lpstr>
      <vt:lpstr>'405'!OSRRefD21_10x_9</vt:lpstr>
      <vt:lpstr>'411'!OSRRefD21_10x_9</vt:lpstr>
      <vt:lpstr>'412'!OSRRefD21_10x_9</vt:lpstr>
      <vt:lpstr>'414'!OSRRefD21_10x_9</vt:lpstr>
      <vt:lpstr>'415'!OSRRefD21_10x_9</vt:lpstr>
      <vt:lpstr>'418'!OSRRefD21_10x_9</vt:lpstr>
      <vt:lpstr>'433'!OSRRefD21_10x_9</vt:lpstr>
      <vt:lpstr>'444'!OSRRefD21_10x_9</vt:lpstr>
      <vt:lpstr>'450'!OSRRefD21_10x_9</vt:lpstr>
      <vt:lpstr>'491'!OSRRefD21_10x_9</vt:lpstr>
      <vt:lpstr>'492'!OSRRefD21_10x_9</vt:lpstr>
      <vt:lpstr>'501'!OSRRefD21_10x_9</vt:lpstr>
      <vt:lpstr>'Div 2'!OSRRefD21_10x_9</vt:lpstr>
      <vt:lpstr>'Div 3'!OSRRefD21_10x_9</vt:lpstr>
      <vt:lpstr>'Div 4'!OSRRefD21_10x_9</vt:lpstr>
      <vt:lpstr>'Div 5'!OSRRefD21_10x_9</vt:lpstr>
      <vt:lpstr>'Div 6'!OSRRefD21_10x_9</vt:lpstr>
      <vt:lpstr>Summary!OSRRefD21_10x_9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'201'!OSRRefD21_11_1x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'317'!OSRRefD21_11_1x</vt:lpstr>
      <vt:lpstr>'325'!OSRRefD21_11_1x</vt:lpstr>
      <vt:lpstr>'330'!OSRRefD21_11_1x</vt:lpstr>
      <vt:lpstr>'405'!OSRRefD21_11_1x</vt:lpstr>
      <vt:lpstr>'412'!OSRRefD21_11_1x</vt:lpstr>
      <vt:lpstr>'415'!OSRRefD21_11_1x</vt:lpstr>
      <vt:lpstr>'418'!OSRRefD21_11_1x</vt:lpstr>
      <vt:lpstr>'433'!OSRRefD21_11_1x</vt:lpstr>
      <vt:lpstr>'444'!OSRRefD21_11_1x</vt:lpstr>
      <vt:lpstr>'Div 3'!OSRRefD21_11_1x</vt:lpstr>
      <vt:lpstr>'Div 6'!OSRRefD21_11_1x</vt:lpstr>
      <vt:lpstr>Summary!OSRRefD21_11_1x</vt:lpstr>
      <vt:lpstr>'203'!OSRRefD21_11_2x</vt:lpstr>
      <vt:lpstr>'308'!OSRRefD21_11_2x</vt:lpstr>
      <vt:lpstr>'311'!OSRRefD21_11_2x</vt:lpstr>
      <vt:lpstr>'317'!OSRRefD21_11_2x</vt:lpstr>
      <vt:lpstr>'405'!OSRRefD21_11_2x</vt:lpstr>
      <vt:lpstr>'412'!OSRRefD21_11_2x</vt:lpstr>
      <vt:lpstr>'418'!OSRRefD21_11_2x</vt:lpstr>
      <vt:lpstr>'Div 6'!OSRRefD21_11_2x</vt:lpstr>
      <vt:lpstr>'317'!OSRRefD21_11_3x</vt:lpstr>
      <vt:lpstr>'405'!OSRRefD21_11_3x</vt:lpstr>
      <vt:lpstr>'412'!OSRRefD21_11_3x</vt:lpstr>
      <vt:lpstr>'418'!OSRRefD21_11_3x</vt:lpstr>
      <vt:lpstr>'Div 6'!OSRRefD21_11_3x</vt:lpstr>
      <vt:lpstr>'418'!OSRRefD21_11_4x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'405'!OSRRefD21_11x_6</vt:lpstr>
      <vt:lpstr>'411'!OSRRefD21_11x_6</vt:lpstr>
      <vt:lpstr>'412'!OSRRefD21_11x_6</vt:lpstr>
      <vt:lpstr>'414'!OSRRefD21_11x_6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'Div 6'!OSRRefD21_11x_6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'317'!OSRRefD21_11x_7</vt:lpstr>
      <vt:lpstr>'321'!OSRRefD21_11x_7</vt:lpstr>
      <vt:lpstr>'325'!OSRRefD21_11x_7</vt:lpstr>
      <vt:lpstr>'326'!OSRRefD21_11x_7</vt:lpstr>
      <vt:lpstr>'330'!OSRRefD21_11x_7</vt:lpstr>
      <vt:lpstr>'331'!OSRRefD21_11x_7</vt:lpstr>
      <vt:lpstr>'332'!OSRRefD21_11x_7</vt:lpstr>
      <vt:lpstr>'405'!OSRRefD21_11x_7</vt:lpstr>
      <vt:lpstr>'411'!OSRRefD21_11x_7</vt:lpstr>
      <vt:lpstr>'412'!OSRRefD21_11x_7</vt:lpstr>
      <vt:lpstr>'414'!OSRRefD21_11x_7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'Div 6'!OSRRefD21_11x_7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'317'!OSRRefD21_11x_8</vt:lpstr>
      <vt:lpstr>'321'!OSRRefD21_11x_8</vt:lpstr>
      <vt:lpstr>'325'!OSRRefD21_11x_8</vt:lpstr>
      <vt:lpstr>'326'!OSRRefD21_11x_8</vt:lpstr>
      <vt:lpstr>'330'!OSRRefD21_11x_8</vt:lpstr>
      <vt:lpstr>'331'!OSRRefD21_11x_8</vt:lpstr>
      <vt:lpstr>'332'!OSRRefD21_11x_8</vt:lpstr>
      <vt:lpstr>'405'!OSRRefD21_11x_8</vt:lpstr>
      <vt:lpstr>'411'!OSRRefD21_11x_8</vt:lpstr>
      <vt:lpstr>'412'!OSRRefD21_11x_8</vt:lpstr>
      <vt:lpstr>'414'!OSRRefD21_11x_8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'Div 6'!OSRRefD21_11x_8</vt:lpstr>
      <vt:lpstr>Summary!OSRRefD21_11x_8</vt:lpstr>
      <vt:lpstr>'201'!OSRRefD21_11x_9</vt:lpstr>
      <vt:lpstr>'202'!OSRRefD21_11x_9</vt:lpstr>
      <vt:lpstr>'203'!OSRRefD21_11x_9</vt:lpstr>
      <vt:lpstr>'300'!OSRRefD21_11x_9</vt:lpstr>
      <vt:lpstr>'300 &amp; 317'!OSRRefD21_11x_9</vt:lpstr>
      <vt:lpstr>'301'!OSRRefD21_11x_9</vt:lpstr>
      <vt:lpstr>'307'!OSRRefD21_11x_9</vt:lpstr>
      <vt:lpstr>'308'!OSRRefD21_11x_9</vt:lpstr>
      <vt:lpstr>'310'!OSRRefD21_11x_9</vt:lpstr>
      <vt:lpstr>'310 &amp; 491'!OSRRefD21_11x_9</vt:lpstr>
      <vt:lpstr>'311'!OSRRefD21_11x_9</vt:lpstr>
      <vt:lpstr>'315'!OSRRefD21_11x_9</vt:lpstr>
      <vt:lpstr>'316'!OSRRefD21_11x_9</vt:lpstr>
      <vt:lpstr>'317'!OSRRefD21_11x_9</vt:lpstr>
      <vt:lpstr>'321'!OSRRefD21_11x_9</vt:lpstr>
      <vt:lpstr>'325'!OSRRefD21_11x_9</vt:lpstr>
      <vt:lpstr>'326'!OSRRefD21_11x_9</vt:lpstr>
      <vt:lpstr>'330'!OSRRefD21_11x_9</vt:lpstr>
      <vt:lpstr>'331'!OSRRefD21_11x_9</vt:lpstr>
      <vt:lpstr>'332'!OSRRefD21_11x_9</vt:lpstr>
      <vt:lpstr>'405'!OSRRefD21_11x_9</vt:lpstr>
      <vt:lpstr>'411'!OSRRefD21_11x_9</vt:lpstr>
      <vt:lpstr>'412'!OSRRefD21_11x_9</vt:lpstr>
      <vt:lpstr>'414'!OSRRefD21_11x_9</vt:lpstr>
      <vt:lpstr>'415'!OSRRefD21_11x_9</vt:lpstr>
      <vt:lpstr>'418'!OSRRefD21_11x_9</vt:lpstr>
      <vt:lpstr>'433'!OSRRefD21_11x_9</vt:lpstr>
      <vt:lpstr>'444'!OSRRefD21_11x_9</vt:lpstr>
      <vt:lpstr>'450'!OSRRefD21_11x_9</vt:lpstr>
      <vt:lpstr>'491'!OSRRefD21_11x_9</vt:lpstr>
      <vt:lpstr>'492'!OSRRefD21_11x_9</vt:lpstr>
      <vt:lpstr>'501'!OSRRefD21_11x_9</vt:lpstr>
      <vt:lpstr>'Div 2'!OSRRefD21_11x_9</vt:lpstr>
      <vt:lpstr>'Div 3'!OSRRefD21_11x_9</vt:lpstr>
      <vt:lpstr>'Div 4'!OSRRefD21_11x_9</vt:lpstr>
      <vt:lpstr>'Div 5'!OSRRefD21_11x_9</vt:lpstr>
      <vt:lpstr>'Div 6'!OSRRefD21_11x_9</vt:lpstr>
      <vt:lpstr>Summary!OSRRefD21_11x_9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'Div 2'!OSRRefD21_12_0x</vt:lpstr>
      <vt:lpstr>'Div 3'!OSRRefD21_12_0x</vt:lpstr>
      <vt:lpstr>'Div 4'!OSRRefD21_12_0x</vt:lpstr>
      <vt:lpstr>'Div 6'!OSRRefD21_12_0x</vt:lpstr>
      <vt:lpstr>Summary!OSRRefD21_12_0x</vt:lpstr>
      <vt:lpstr>'308'!OSRRefD21_12_1x</vt:lpstr>
      <vt:lpstr>'310'!OSRRefD21_12_1x</vt:lpstr>
      <vt:lpstr>'311'!OSRRefD21_12_1x</vt:lpstr>
      <vt:lpstr>'315'!OSRRefD21_12_1x</vt:lpstr>
      <vt:lpstr>'325'!OSRRefD21_12_1x</vt:lpstr>
      <vt:lpstr>'326'!OSRRefD21_12_1x</vt:lpstr>
      <vt:lpstr>'411'!OSRRefD21_12_1x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'325'!OSRRefD21_12_2x</vt:lpstr>
      <vt:lpstr>'326'!OSRRefD21_12_2x</vt:lpstr>
      <vt:lpstr>'411'!OSRRefD21_12_2x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'325'!OSRRefD21_12_3x</vt:lpstr>
      <vt:lpstr>'411'!OSRRefD21_12_3x</vt:lpstr>
      <vt:lpstr>'415'!OSRRefD21_12_3x</vt:lpstr>
      <vt:lpstr>'433'!OSRRefD21_12_3x</vt:lpstr>
      <vt:lpstr>'444'!OSRRefD21_12_3x</vt:lpstr>
      <vt:lpstr>'Div 2'!OSRRefD21_12_3x</vt:lpstr>
      <vt:lpstr>'325'!OSRRefD21_12_4x</vt:lpstr>
      <vt:lpstr>'411'!OSRRefD21_12_4x</vt:lpstr>
      <vt:lpstr>'411'!OSRRefD21_12_5x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'Div 2'!OSRRefD21_12x_0</vt:lpstr>
      <vt:lpstr>'Div 3'!OSRRefD21_12x_0</vt:lpstr>
      <vt:lpstr>'Div 4'!OSRRefD21_12x_0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'Div 2'!OSRRefD21_12x_1</vt:lpstr>
      <vt:lpstr>'Div 3'!OSRRefD21_12x_1</vt:lpstr>
      <vt:lpstr>'Div 4'!OSRRefD21_12x_1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'Div 2'!OSRRefD21_12x_2</vt:lpstr>
      <vt:lpstr>'Div 3'!OSRRefD21_12x_2</vt:lpstr>
      <vt:lpstr>'Div 4'!OSRRefD21_12x_2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'Div 2'!OSRRefD21_12x_3</vt:lpstr>
      <vt:lpstr>'Div 3'!OSRRefD21_12x_3</vt:lpstr>
      <vt:lpstr>'Div 4'!OSRRefD21_12x_3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'317'!OSRRefD21_12x_4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'Div 2'!OSRRefD21_12x_4</vt:lpstr>
      <vt:lpstr>'Div 3'!OSRRefD21_12x_4</vt:lpstr>
      <vt:lpstr>'Div 4'!OSRRefD21_12x_4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'317'!OSRRefD21_12x_5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'Div 2'!OSRRefD21_12x_5</vt:lpstr>
      <vt:lpstr>'Div 3'!OSRRefD21_12x_5</vt:lpstr>
      <vt:lpstr>'Div 4'!OSRRefD21_12x_5</vt:lpstr>
      <vt:lpstr>'Div 6'!OSRRefD21_12x_5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'317'!OSRRefD21_12x_6</vt:lpstr>
      <vt:lpstr>'325'!OSRRefD21_12x_6</vt:lpstr>
      <vt:lpstr>'326'!OSRRefD21_12x_6</vt:lpstr>
      <vt:lpstr>'330'!OSRRefD21_12x_6</vt:lpstr>
      <vt:lpstr>'331'!OSRRefD21_12x_6</vt:lpstr>
      <vt:lpstr>'405'!OSRRefD21_12x_6</vt:lpstr>
      <vt:lpstr>'411'!OSRRefD21_12x_6</vt:lpstr>
      <vt:lpstr>'412'!OSRRefD21_12x_6</vt:lpstr>
      <vt:lpstr>'414'!OSRRefD21_12x_6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'Div 2'!OSRRefD21_12x_6</vt:lpstr>
      <vt:lpstr>'Div 3'!OSRRefD21_12x_6</vt:lpstr>
      <vt:lpstr>'Div 4'!OSRRefD21_12x_6</vt:lpstr>
      <vt:lpstr>'Div 6'!OSRRefD21_12x_6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'310'!OSRRefD21_12x_7</vt:lpstr>
      <vt:lpstr>'310 &amp; 491'!OSRRefD21_12x_7</vt:lpstr>
      <vt:lpstr>'311'!OSRRefD21_12x_7</vt:lpstr>
      <vt:lpstr>'315'!OSRRefD21_12x_7</vt:lpstr>
      <vt:lpstr>'317'!OSRRefD21_12x_7</vt:lpstr>
      <vt:lpstr>'325'!OSRRefD21_12x_7</vt:lpstr>
      <vt:lpstr>'326'!OSRRefD21_12x_7</vt:lpstr>
      <vt:lpstr>'330'!OSRRefD21_12x_7</vt:lpstr>
      <vt:lpstr>'331'!OSRRefD21_12x_7</vt:lpstr>
      <vt:lpstr>'405'!OSRRefD21_12x_7</vt:lpstr>
      <vt:lpstr>'411'!OSRRefD21_12x_7</vt:lpstr>
      <vt:lpstr>'412'!OSRRefD21_12x_7</vt:lpstr>
      <vt:lpstr>'414'!OSRRefD21_12x_7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'Div 2'!OSRRefD21_12x_7</vt:lpstr>
      <vt:lpstr>'Div 3'!OSRRefD21_12x_7</vt:lpstr>
      <vt:lpstr>'Div 4'!OSRRefD21_12x_7</vt:lpstr>
      <vt:lpstr>'Div 6'!OSRRefD21_12x_7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'310'!OSRRefD21_12x_8</vt:lpstr>
      <vt:lpstr>'310 &amp; 491'!OSRRefD21_12x_8</vt:lpstr>
      <vt:lpstr>'311'!OSRRefD21_12x_8</vt:lpstr>
      <vt:lpstr>'315'!OSRRefD21_12x_8</vt:lpstr>
      <vt:lpstr>'317'!OSRRefD21_12x_8</vt:lpstr>
      <vt:lpstr>'325'!OSRRefD21_12x_8</vt:lpstr>
      <vt:lpstr>'326'!OSRRefD21_12x_8</vt:lpstr>
      <vt:lpstr>'330'!OSRRefD21_12x_8</vt:lpstr>
      <vt:lpstr>'331'!OSRRefD21_12x_8</vt:lpstr>
      <vt:lpstr>'405'!OSRRefD21_12x_8</vt:lpstr>
      <vt:lpstr>'411'!OSRRefD21_12x_8</vt:lpstr>
      <vt:lpstr>'412'!OSRRefD21_12x_8</vt:lpstr>
      <vt:lpstr>'414'!OSRRefD21_12x_8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'Div 2'!OSRRefD21_12x_8</vt:lpstr>
      <vt:lpstr>'Div 3'!OSRRefD21_12x_8</vt:lpstr>
      <vt:lpstr>'Div 4'!OSRRefD21_12x_8</vt:lpstr>
      <vt:lpstr>'Div 6'!OSRRefD21_12x_8</vt:lpstr>
      <vt:lpstr>Summary!OSRRefD21_12x_8</vt:lpstr>
      <vt:lpstr>'201'!OSRRefD21_12x_9</vt:lpstr>
      <vt:lpstr>'202'!OSRRefD21_12x_9</vt:lpstr>
      <vt:lpstr>'203'!OSRRefD21_12x_9</vt:lpstr>
      <vt:lpstr>'300'!OSRRefD21_12x_9</vt:lpstr>
      <vt:lpstr>'300 &amp; 317'!OSRRefD21_12x_9</vt:lpstr>
      <vt:lpstr>'301'!OSRRefD21_12x_9</vt:lpstr>
      <vt:lpstr>'307'!OSRRefD21_12x_9</vt:lpstr>
      <vt:lpstr>'308'!OSRRefD21_12x_9</vt:lpstr>
      <vt:lpstr>'310'!OSRRefD21_12x_9</vt:lpstr>
      <vt:lpstr>'310 &amp; 491'!OSRRefD21_12x_9</vt:lpstr>
      <vt:lpstr>'311'!OSRRefD21_12x_9</vt:lpstr>
      <vt:lpstr>'315'!OSRRefD21_12x_9</vt:lpstr>
      <vt:lpstr>'317'!OSRRefD21_12x_9</vt:lpstr>
      <vt:lpstr>'325'!OSRRefD21_12x_9</vt:lpstr>
      <vt:lpstr>'326'!OSRRefD21_12x_9</vt:lpstr>
      <vt:lpstr>'330'!OSRRefD21_12x_9</vt:lpstr>
      <vt:lpstr>'331'!OSRRefD21_12x_9</vt:lpstr>
      <vt:lpstr>'405'!OSRRefD21_12x_9</vt:lpstr>
      <vt:lpstr>'411'!OSRRefD21_12x_9</vt:lpstr>
      <vt:lpstr>'412'!OSRRefD21_12x_9</vt:lpstr>
      <vt:lpstr>'414'!OSRRefD21_12x_9</vt:lpstr>
      <vt:lpstr>'415'!OSRRefD21_12x_9</vt:lpstr>
      <vt:lpstr>'418'!OSRRefD21_12x_9</vt:lpstr>
      <vt:lpstr>'433'!OSRRefD21_12x_9</vt:lpstr>
      <vt:lpstr>'444'!OSRRefD21_12x_9</vt:lpstr>
      <vt:lpstr>'450'!OSRRefD21_12x_9</vt:lpstr>
      <vt:lpstr>'491'!OSRRefD21_12x_9</vt:lpstr>
      <vt:lpstr>'492'!OSRRefD21_12x_9</vt:lpstr>
      <vt:lpstr>'Div 2'!OSRRefD21_12x_9</vt:lpstr>
      <vt:lpstr>'Div 3'!OSRRefD21_12x_9</vt:lpstr>
      <vt:lpstr>'Div 4'!OSRRefD21_12x_9</vt:lpstr>
      <vt:lpstr>'Div 6'!OSRRefD21_12x_9</vt:lpstr>
      <vt:lpstr>Summary!OSRRefD21_12x_9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'317'!OSRRefD21_13_0x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'Div 2'!OSRRefD21_13_0x</vt:lpstr>
      <vt:lpstr>'Div 3'!OSRRefD21_13_0x</vt:lpstr>
      <vt:lpstr>'Div 4'!OSRRefD21_13_0x</vt:lpstr>
      <vt:lpstr>'Div 6'!OSRRefD21_13_0x</vt:lpstr>
      <vt:lpstr>Summary!OSRRefD21_13_0x</vt:lpstr>
      <vt:lpstr>'201'!OSRRefD21_13_1x</vt:lpstr>
      <vt:lpstr>'300'!OSRRefD21_13_1x</vt:lpstr>
      <vt:lpstr>'300 &amp; 317'!OSRRefD21_13_1x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'450'!OSRRefD21_13_1x</vt:lpstr>
      <vt:lpstr>'492'!OSRRefD21_13_1x</vt:lpstr>
      <vt:lpstr>'Div 2'!OSRRefD21_13_1x</vt:lpstr>
      <vt:lpstr>'201'!OSRRefD21_13_2x</vt:lpstr>
      <vt:lpstr>'326'!OSRRefD21_13_2x</vt:lpstr>
      <vt:lpstr>'331'!OSRRefD21_13_2x</vt:lpstr>
      <vt:lpstr>'405'!OSRRefD21_13_2x</vt:lpstr>
      <vt:lpstr>'433'!OSRRefD21_13_2x</vt:lpstr>
      <vt:lpstr>'450'!OSRRefD21_13_2x</vt:lpstr>
      <vt:lpstr>'492'!OSRRefD21_13_2x</vt:lpstr>
      <vt:lpstr>'Div 2'!OSRRefD21_13_2x</vt:lpstr>
      <vt:lpstr>'405'!OSRRefD21_13_3x</vt:lpstr>
      <vt:lpstr>'433'!OSRRefD21_13_3x</vt:lpstr>
      <vt:lpstr>'492'!OSRRefD21_13_3x</vt:lpstr>
      <vt:lpstr>'Div 2'!OSRRefD21_13_3x</vt:lpstr>
      <vt:lpstr>'405'!OSRRefD21_13_4x</vt:lpstr>
      <vt:lpstr>'433'!OSRRefD21_13_4x</vt:lpstr>
      <vt:lpstr>'405'!OSRRefD21_13_5x</vt:lpstr>
      <vt:lpstr>'433'!OSRRefD21_13_5x</vt:lpstr>
      <vt:lpstr>'405'!OSRRefD21_13_6x</vt:lpstr>
      <vt:lpstr>'433'!OSRRefD21_13_6x</vt:lpstr>
      <vt:lpstr>'405'!OSRRefD21_13_7x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'317'!OSRRefD21_13x_0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'Div 2'!OSRRefD21_13x_0</vt:lpstr>
      <vt:lpstr>'Div 3'!OSRRefD21_13x_0</vt:lpstr>
      <vt:lpstr>'Div 4'!OSRRefD21_13x_0</vt:lpstr>
      <vt:lpstr>'Div 6'!OSRRefD21_13x_0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'317'!OSRRefD21_13x_1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'Div 2'!OSRRefD21_13x_1</vt:lpstr>
      <vt:lpstr>'Div 3'!OSRRefD21_13x_1</vt:lpstr>
      <vt:lpstr>'Div 4'!OSRRefD21_13x_1</vt:lpstr>
      <vt:lpstr>'Div 6'!OSRRefD21_13x_1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'317'!OSRRefD21_13x_2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'Div 2'!OSRRefD21_13x_2</vt:lpstr>
      <vt:lpstr>'Div 3'!OSRRefD21_13x_2</vt:lpstr>
      <vt:lpstr>'Div 4'!OSRRefD21_13x_2</vt:lpstr>
      <vt:lpstr>'Div 6'!OSRRefD21_13x_2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'317'!OSRRefD21_13x_3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'Div 2'!OSRRefD21_13x_3</vt:lpstr>
      <vt:lpstr>'Div 3'!OSRRefD21_13x_3</vt:lpstr>
      <vt:lpstr>'Div 4'!OSRRefD21_13x_3</vt:lpstr>
      <vt:lpstr>'Div 6'!OSRRefD21_13x_3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'317'!OSRRefD21_13x_4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'Div 2'!OSRRefD21_13x_4</vt:lpstr>
      <vt:lpstr>'Div 3'!OSRRefD21_13x_4</vt:lpstr>
      <vt:lpstr>'Div 4'!OSRRefD21_13x_4</vt:lpstr>
      <vt:lpstr>'Div 6'!OSRRefD21_13x_4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'317'!OSRRefD21_13x_5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'Div 2'!OSRRefD21_13x_5</vt:lpstr>
      <vt:lpstr>'Div 3'!OSRRefD21_13x_5</vt:lpstr>
      <vt:lpstr>'Div 4'!OSRRefD21_13x_5</vt:lpstr>
      <vt:lpstr>'Div 6'!OSRRefD21_13x_5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'317'!OSRRefD21_13x_6</vt:lpstr>
      <vt:lpstr>'325'!OSRRefD21_13x_6</vt:lpstr>
      <vt:lpstr>'326'!OSRRefD21_13x_6</vt:lpstr>
      <vt:lpstr>'331'!OSRRefD21_13x_6</vt:lpstr>
      <vt:lpstr>'405'!OSRRefD21_13x_6</vt:lpstr>
      <vt:lpstr>'411'!OSRRefD21_13x_6</vt:lpstr>
      <vt:lpstr>'412'!OSRRefD21_13x_6</vt:lpstr>
      <vt:lpstr>'414'!OSRRefD21_13x_6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'Div 2'!OSRRefD21_13x_6</vt:lpstr>
      <vt:lpstr>'Div 3'!OSRRefD21_13x_6</vt:lpstr>
      <vt:lpstr>'Div 4'!OSRRefD21_13x_6</vt:lpstr>
      <vt:lpstr>'Div 6'!OSRRefD21_13x_6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'317'!OSRRefD21_13x_7</vt:lpstr>
      <vt:lpstr>'325'!OSRRefD21_13x_7</vt:lpstr>
      <vt:lpstr>'326'!OSRRefD21_13x_7</vt:lpstr>
      <vt:lpstr>'331'!OSRRefD21_13x_7</vt:lpstr>
      <vt:lpstr>'405'!OSRRefD21_13x_7</vt:lpstr>
      <vt:lpstr>'411'!OSRRefD21_13x_7</vt:lpstr>
      <vt:lpstr>'412'!OSRRefD21_13x_7</vt:lpstr>
      <vt:lpstr>'414'!OSRRefD21_13x_7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'Div 2'!OSRRefD21_13x_7</vt:lpstr>
      <vt:lpstr>'Div 3'!OSRRefD21_13x_7</vt:lpstr>
      <vt:lpstr>'Div 4'!OSRRefD21_13x_7</vt:lpstr>
      <vt:lpstr>'Div 6'!OSRRefD21_13x_7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'317'!OSRRefD21_13x_8</vt:lpstr>
      <vt:lpstr>'325'!OSRRefD21_13x_8</vt:lpstr>
      <vt:lpstr>'326'!OSRRefD21_13x_8</vt:lpstr>
      <vt:lpstr>'331'!OSRRefD21_13x_8</vt:lpstr>
      <vt:lpstr>'405'!OSRRefD21_13x_8</vt:lpstr>
      <vt:lpstr>'411'!OSRRefD21_13x_8</vt:lpstr>
      <vt:lpstr>'412'!OSRRefD21_13x_8</vt:lpstr>
      <vt:lpstr>'414'!OSRRefD21_13x_8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'Div 2'!OSRRefD21_13x_8</vt:lpstr>
      <vt:lpstr>'Div 3'!OSRRefD21_13x_8</vt:lpstr>
      <vt:lpstr>'Div 4'!OSRRefD21_13x_8</vt:lpstr>
      <vt:lpstr>'Div 6'!OSRRefD21_13x_8</vt:lpstr>
      <vt:lpstr>Summary!OSRRefD21_13x_8</vt:lpstr>
      <vt:lpstr>'201'!OSRRefD21_13x_9</vt:lpstr>
      <vt:lpstr>'203'!OSRRefD21_13x_9</vt:lpstr>
      <vt:lpstr>'300'!OSRRefD21_13x_9</vt:lpstr>
      <vt:lpstr>'300 &amp; 317'!OSRRefD21_13x_9</vt:lpstr>
      <vt:lpstr>'301'!OSRRefD21_13x_9</vt:lpstr>
      <vt:lpstr>'308'!OSRRefD21_13x_9</vt:lpstr>
      <vt:lpstr>'310'!OSRRefD21_13x_9</vt:lpstr>
      <vt:lpstr>'310 &amp; 491'!OSRRefD21_13x_9</vt:lpstr>
      <vt:lpstr>'311'!OSRRefD21_13x_9</vt:lpstr>
      <vt:lpstr>'315'!OSRRefD21_13x_9</vt:lpstr>
      <vt:lpstr>'317'!OSRRefD21_13x_9</vt:lpstr>
      <vt:lpstr>'325'!OSRRefD21_13x_9</vt:lpstr>
      <vt:lpstr>'326'!OSRRefD21_13x_9</vt:lpstr>
      <vt:lpstr>'331'!OSRRefD21_13x_9</vt:lpstr>
      <vt:lpstr>'405'!OSRRefD21_13x_9</vt:lpstr>
      <vt:lpstr>'411'!OSRRefD21_13x_9</vt:lpstr>
      <vt:lpstr>'412'!OSRRefD21_13x_9</vt:lpstr>
      <vt:lpstr>'414'!OSRRefD21_13x_9</vt:lpstr>
      <vt:lpstr>'415'!OSRRefD21_13x_9</vt:lpstr>
      <vt:lpstr>'418'!OSRRefD21_13x_9</vt:lpstr>
      <vt:lpstr>'433'!OSRRefD21_13x_9</vt:lpstr>
      <vt:lpstr>'444'!OSRRefD21_13x_9</vt:lpstr>
      <vt:lpstr>'450'!OSRRefD21_13x_9</vt:lpstr>
      <vt:lpstr>'491'!OSRRefD21_13x_9</vt:lpstr>
      <vt:lpstr>'492'!OSRRefD21_13x_9</vt:lpstr>
      <vt:lpstr>'Div 2'!OSRRefD21_13x_9</vt:lpstr>
      <vt:lpstr>'Div 3'!OSRRefD21_13x_9</vt:lpstr>
      <vt:lpstr>'Div 4'!OSRRefD21_13x_9</vt:lpstr>
      <vt:lpstr>'Div 6'!OSRRefD21_13x_9</vt:lpstr>
      <vt:lpstr>Summary!OSRRefD21_13x_9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'Div 2'!OSRRefD21_14_1x</vt:lpstr>
      <vt:lpstr>'Div 3'!OSRRefD21_14_1x</vt:lpstr>
      <vt:lpstr>Summary!OSRRefD21_14_1x</vt:lpstr>
      <vt:lpstr>'310'!OSRRefD21_14_2x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'450'!OSRRefD21_14_2x</vt:lpstr>
      <vt:lpstr>'491'!OSRRefD21_14_2x</vt:lpstr>
      <vt:lpstr>'310 &amp; 491'!OSRRefD21_14_3x</vt:lpstr>
      <vt:lpstr>'315'!OSRRefD21_14_3x</vt:lpstr>
      <vt:lpstr>'415'!OSRRefD21_14_3x</vt:lpstr>
      <vt:lpstr>'444'!OSRRefD21_14_3x</vt:lpstr>
      <vt:lpstr>'450'!OSRRefD21_14_3x</vt:lpstr>
      <vt:lpstr>'491'!OSRRefD21_14_3x</vt:lpstr>
      <vt:lpstr>'315'!OSRRefD21_14_4x</vt:lpstr>
      <vt:lpstr>'415'!OSRRefD21_14_4x</vt:lpstr>
      <vt:lpstr>'444'!OSRRefD21_14_4x</vt:lpstr>
      <vt:lpstr>'450'!OSRRefD21_14_4x</vt:lpstr>
      <vt:lpstr>'315'!OSRRefD21_14_5x</vt:lpstr>
      <vt:lpstr>'415'!OSRRefD21_14_5x</vt:lpstr>
      <vt:lpstr>'444'!OSRRefD21_14_5x</vt:lpstr>
      <vt:lpstr>'315'!OSRRefD21_14_6x</vt:lpstr>
      <vt:lpstr>'444'!OSRRefD21_14_6x</vt:lpstr>
      <vt:lpstr>'444'!OSRRefD21_14_7x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'203'!OSRRefD21_14x_6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'405'!OSRRefD21_14x_6</vt:lpstr>
      <vt:lpstr>'411'!OSRRefD21_14x_6</vt:lpstr>
      <vt:lpstr>'415'!OSRRefD21_14x_6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'203'!OSRRefD21_14x_7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'405'!OSRRefD21_14x_7</vt:lpstr>
      <vt:lpstr>'411'!OSRRefD21_14x_7</vt:lpstr>
      <vt:lpstr>'415'!OSRRefD21_14x_7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'203'!OSRRefD21_14x_8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'405'!OSRRefD21_14x_8</vt:lpstr>
      <vt:lpstr>'411'!OSRRefD21_14x_8</vt:lpstr>
      <vt:lpstr>'415'!OSRRefD21_14x_8</vt:lpstr>
      <vt:lpstr>'433'!OSRRefD21_14x_8</vt:lpstr>
      <vt:lpstr>'444'!OSRRefD21_14x_8</vt:lpstr>
      <vt:lpstr>'450'!OSRRefD21_14x_8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'201'!OSRRefD21_14x_9</vt:lpstr>
      <vt:lpstr>'203'!OSRRefD21_14x_9</vt:lpstr>
      <vt:lpstr>'300'!OSRRefD21_14x_9</vt:lpstr>
      <vt:lpstr>'300 &amp; 317'!OSRRefD21_14x_9</vt:lpstr>
      <vt:lpstr>'301'!OSRRefD21_14x_9</vt:lpstr>
      <vt:lpstr>'310'!OSRRefD21_14x_9</vt:lpstr>
      <vt:lpstr>'310 &amp; 491'!OSRRefD21_14x_9</vt:lpstr>
      <vt:lpstr>'315'!OSRRefD21_14x_9</vt:lpstr>
      <vt:lpstr>'325'!OSRRefD21_14x_9</vt:lpstr>
      <vt:lpstr>'326'!OSRRefD21_14x_9</vt:lpstr>
      <vt:lpstr>'331'!OSRRefD21_14x_9</vt:lpstr>
      <vt:lpstr>'405'!OSRRefD21_14x_9</vt:lpstr>
      <vt:lpstr>'411'!OSRRefD21_14x_9</vt:lpstr>
      <vt:lpstr>'415'!OSRRefD21_14x_9</vt:lpstr>
      <vt:lpstr>'433'!OSRRefD21_14x_9</vt:lpstr>
      <vt:lpstr>'444'!OSRRefD21_14x_9</vt:lpstr>
      <vt:lpstr>'450'!OSRRefD21_14x_9</vt:lpstr>
      <vt:lpstr>'491'!OSRRefD21_14x_9</vt:lpstr>
      <vt:lpstr>'492'!OSRRefD21_14x_9</vt:lpstr>
      <vt:lpstr>'Div 2'!OSRRefD21_14x_9</vt:lpstr>
      <vt:lpstr>'Div 3'!OSRRefD21_14x_9</vt:lpstr>
      <vt:lpstr>'Div 4'!OSRRefD21_14x_9</vt:lpstr>
      <vt:lpstr>Summary!OSRRefD21_14x_9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'326'!OSRRefD21_15_0x</vt:lpstr>
      <vt:lpstr>'331'!OSRRefD21_15_0x</vt:lpstr>
      <vt:lpstr>'405'!OSRRefD21_15_0x</vt:lpstr>
      <vt:lpstr>'411'!OSRRefD21_15_0x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'301'!OSRRefD21_15_3x</vt:lpstr>
      <vt:lpstr>'310'!OSRRefD21_15_3x</vt:lpstr>
      <vt:lpstr>'326'!OSRRefD21_15_3x</vt:lpstr>
      <vt:lpstr>'492'!OSRRefD21_15_3x</vt:lpstr>
      <vt:lpstr>'Div 4'!OSRRefD21_15_3x</vt:lpstr>
      <vt:lpstr>'310'!OSRRefD21_15_4x</vt:lpstr>
      <vt:lpstr>'326'!OSRRefD21_15_4x</vt:lpstr>
      <vt:lpstr>'492'!OSRRefD21_15_4x</vt:lpstr>
      <vt:lpstr>'310'!OSRRefD21_15_5x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'326'!OSRRefD21_15x_0</vt:lpstr>
      <vt:lpstr>'331'!OSRRefD21_15x_0</vt:lpstr>
      <vt:lpstr>'405'!OSRRefD21_15x_0</vt:lpstr>
      <vt:lpstr>'411'!OSRRefD21_15x_0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'326'!OSRRefD21_15x_1</vt:lpstr>
      <vt:lpstr>'331'!OSRRefD21_15x_1</vt:lpstr>
      <vt:lpstr>'405'!OSRRefD21_15x_1</vt:lpstr>
      <vt:lpstr>'411'!OSRRefD21_15x_1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'326'!OSRRefD21_15x_2</vt:lpstr>
      <vt:lpstr>'331'!OSRRefD21_15x_2</vt:lpstr>
      <vt:lpstr>'405'!OSRRefD21_15x_2</vt:lpstr>
      <vt:lpstr>'411'!OSRRefD21_15x_2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'326'!OSRRefD21_15x_3</vt:lpstr>
      <vt:lpstr>'331'!OSRRefD21_15x_3</vt:lpstr>
      <vt:lpstr>'405'!OSRRefD21_15x_3</vt:lpstr>
      <vt:lpstr>'411'!OSRRefD21_15x_3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'326'!OSRRefD21_15x_4</vt:lpstr>
      <vt:lpstr>'331'!OSRRefD21_15x_4</vt:lpstr>
      <vt:lpstr>'405'!OSRRefD21_15x_4</vt:lpstr>
      <vt:lpstr>'411'!OSRRefD21_15x_4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'326'!OSRRefD21_15x_5</vt:lpstr>
      <vt:lpstr>'331'!OSRRefD21_15x_5</vt:lpstr>
      <vt:lpstr>'405'!OSRRefD21_15x_5</vt:lpstr>
      <vt:lpstr>'411'!OSRRefD21_15x_5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'201'!OSRRefD21_15x_6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'326'!OSRRefD21_15x_6</vt:lpstr>
      <vt:lpstr>'331'!OSRRefD21_15x_6</vt:lpstr>
      <vt:lpstr>'405'!OSRRefD21_15x_6</vt:lpstr>
      <vt:lpstr>'411'!OSRRefD21_15x_6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'201'!OSRRefD21_15x_7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'326'!OSRRefD21_15x_7</vt:lpstr>
      <vt:lpstr>'331'!OSRRefD21_15x_7</vt:lpstr>
      <vt:lpstr>'405'!OSRRefD21_15x_7</vt:lpstr>
      <vt:lpstr>'411'!OSRRefD21_15x_7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'201'!OSRRefD21_15x_8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'326'!OSRRefD21_15x_8</vt:lpstr>
      <vt:lpstr>'331'!OSRRefD21_15x_8</vt:lpstr>
      <vt:lpstr>'405'!OSRRefD21_15x_8</vt:lpstr>
      <vt:lpstr>'411'!OSRRefD21_15x_8</vt:lpstr>
      <vt:lpstr>'415'!OSRRefD21_15x_8</vt:lpstr>
      <vt:lpstr>'433'!OSRRefD21_15x_8</vt:lpstr>
      <vt:lpstr>'444'!OSRRefD21_15x_8</vt:lpstr>
      <vt:lpstr>'450'!OSRRefD21_15x_8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'201'!OSRRefD21_15x_9</vt:lpstr>
      <vt:lpstr>'300'!OSRRefD21_15x_9</vt:lpstr>
      <vt:lpstr>'300 &amp; 317'!OSRRefD21_15x_9</vt:lpstr>
      <vt:lpstr>'301'!OSRRefD21_15x_9</vt:lpstr>
      <vt:lpstr>'310'!OSRRefD21_15x_9</vt:lpstr>
      <vt:lpstr>'310 &amp; 491'!OSRRefD21_15x_9</vt:lpstr>
      <vt:lpstr>'315'!OSRRefD21_15x_9</vt:lpstr>
      <vt:lpstr>'326'!OSRRefD21_15x_9</vt:lpstr>
      <vt:lpstr>'331'!OSRRefD21_15x_9</vt:lpstr>
      <vt:lpstr>'405'!OSRRefD21_15x_9</vt:lpstr>
      <vt:lpstr>'411'!OSRRefD21_15x_9</vt:lpstr>
      <vt:lpstr>'415'!OSRRefD21_15x_9</vt:lpstr>
      <vt:lpstr>'433'!OSRRefD21_15x_9</vt:lpstr>
      <vt:lpstr>'444'!OSRRefD21_15x_9</vt:lpstr>
      <vt:lpstr>'450'!OSRRefD21_15x_9</vt:lpstr>
      <vt:lpstr>'491'!OSRRefD21_15x_9</vt:lpstr>
      <vt:lpstr>'492'!OSRRefD21_15x_9</vt:lpstr>
      <vt:lpstr>'Div 2'!OSRRefD21_15x_9</vt:lpstr>
      <vt:lpstr>'Div 3'!OSRRefD21_15x_9</vt:lpstr>
      <vt:lpstr>'Div 4'!OSRRefD21_15x_9</vt:lpstr>
      <vt:lpstr>Summary!OSRRefD21_15x_9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'310'!OSRRefD21_16_1x</vt:lpstr>
      <vt:lpstr>'310 &amp; 491'!OSRRefD21_16_1x</vt:lpstr>
      <vt:lpstr>'315'!OSRRefD21_16_1x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'301'!OSRRefD21_16_2x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'310 &amp; 491'!OSRRefD21_16_4x</vt:lpstr>
      <vt:lpstr>'491'!OSRRefD21_16_4x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'415'!OSRRefD21_16x_4</vt:lpstr>
      <vt:lpstr>'444'!OSRRefD21_16x_4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'415'!OSRRefD21_16x_5</vt:lpstr>
      <vt:lpstr>'444'!OSRRefD21_16x_5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'415'!OSRRefD21_16x_6</vt:lpstr>
      <vt:lpstr>'444'!OSRRefD21_16x_6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'326'!OSRRefD21_16x_7</vt:lpstr>
      <vt:lpstr>'331'!OSRRefD21_16x_7</vt:lpstr>
      <vt:lpstr>'415'!OSRRefD21_16x_7</vt:lpstr>
      <vt:lpstr>'444'!OSRRefD21_16x_7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'326'!OSRRefD21_16x_8</vt:lpstr>
      <vt:lpstr>'331'!OSRRefD21_16x_8</vt:lpstr>
      <vt:lpstr>'415'!OSRRefD21_16x_8</vt:lpstr>
      <vt:lpstr>'444'!OSRRefD21_16x_8</vt:lpstr>
      <vt:lpstr>'450'!OSRRefD21_16x_8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'300'!OSRRefD21_16x_9</vt:lpstr>
      <vt:lpstr>'300 &amp; 317'!OSRRefD21_16x_9</vt:lpstr>
      <vt:lpstr>'301'!OSRRefD21_16x_9</vt:lpstr>
      <vt:lpstr>'310'!OSRRefD21_16x_9</vt:lpstr>
      <vt:lpstr>'310 &amp; 491'!OSRRefD21_16x_9</vt:lpstr>
      <vt:lpstr>'315'!OSRRefD21_16x_9</vt:lpstr>
      <vt:lpstr>'326'!OSRRefD21_16x_9</vt:lpstr>
      <vt:lpstr>'331'!OSRRefD21_16x_9</vt:lpstr>
      <vt:lpstr>'415'!OSRRefD21_16x_9</vt:lpstr>
      <vt:lpstr>'444'!OSRRefD21_16x_9</vt:lpstr>
      <vt:lpstr>'450'!OSRRefD21_16x_9</vt:lpstr>
      <vt:lpstr>'491'!OSRRefD21_16x_9</vt:lpstr>
      <vt:lpstr>'492'!OSRRefD21_16x_9</vt:lpstr>
      <vt:lpstr>'Div 2'!OSRRefD21_16x_9</vt:lpstr>
      <vt:lpstr>'Div 3'!OSRRefD21_16x_9</vt:lpstr>
      <vt:lpstr>'Div 4'!OSRRefD21_16x_9</vt:lpstr>
      <vt:lpstr>Summary!OSRRefD21_16x_9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'444'!OSRRefD21_17_0x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'331'!OSRRefD21_17_3x</vt:lpstr>
      <vt:lpstr>'Div 3'!OSRRefD21_17_3x</vt:lpstr>
      <vt:lpstr>'Div 4'!OSRRefD21_17_3x</vt:lpstr>
      <vt:lpstr>'331'!OSRRefD21_17_4x</vt:lpstr>
      <vt:lpstr>'Div 4'!OSRRefD21_17_4x</vt:lpstr>
      <vt:lpstr>'331'!OSRRefD21_17_5x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'444'!OSRRefD21_17x_0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'444'!OSRRefD21_17x_1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'444'!OSRRefD21_17x_2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'444'!OSRRefD21_17x_3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'444'!OSRRefD21_17x_4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'326'!OSRRefD21_17x_5</vt:lpstr>
      <vt:lpstr>'331'!OSRRefD21_17x_5</vt:lpstr>
      <vt:lpstr>'415'!OSRRefD21_17x_5</vt:lpstr>
      <vt:lpstr>'444'!OSRRefD21_17x_5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'326'!OSRRefD21_17x_6</vt:lpstr>
      <vt:lpstr>'331'!OSRRefD21_17x_6</vt:lpstr>
      <vt:lpstr>'415'!OSRRefD21_17x_6</vt:lpstr>
      <vt:lpstr>'444'!OSRRefD21_17x_6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'326'!OSRRefD21_17x_7</vt:lpstr>
      <vt:lpstr>'331'!OSRRefD21_17x_7</vt:lpstr>
      <vt:lpstr>'415'!OSRRefD21_17x_7</vt:lpstr>
      <vt:lpstr>'444'!OSRRefD21_17x_7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'326'!OSRRefD21_17x_8</vt:lpstr>
      <vt:lpstr>'331'!OSRRefD21_17x_8</vt:lpstr>
      <vt:lpstr>'415'!OSRRefD21_17x_8</vt:lpstr>
      <vt:lpstr>'444'!OSRRefD21_17x_8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'300'!OSRRefD21_17x_9</vt:lpstr>
      <vt:lpstr>'300 &amp; 317'!OSRRefD21_17x_9</vt:lpstr>
      <vt:lpstr>'301'!OSRRefD21_17x_9</vt:lpstr>
      <vt:lpstr>'310'!OSRRefD21_17x_9</vt:lpstr>
      <vt:lpstr>'310 &amp; 491'!OSRRefD21_17x_9</vt:lpstr>
      <vt:lpstr>'326'!OSRRefD21_17x_9</vt:lpstr>
      <vt:lpstr>'331'!OSRRefD21_17x_9</vt:lpstr>
      <vt:lpstr>'415'!OSRRefD21_17x_9</vt:lpstr>
      <vt:lpstr>'444'!OSRRefD21_17x_9</vt:lpstr>
      <vt:lpstr>'491'!OSRRefD21_17x_9</vt:lpstr>
      <vt:lpstr>'492'!OSRRefD21_17x_9</vt:lpstr>
      <vt:lpstr>'Div 2'!OSRRefD21_17x_9</vt:lpstr>
      <vt:lpstr>'Div 3'!OSRRefD21_17x_9</vt:lpstr>
      <vt:lpstr>'Div 4'!OSRRefD21_17x_9</vt:lpstr>
      <vt:lpstr>Summary!OSRRefD21_17x_9</vt:lpstr>
      <vt:lpstr>'300'!OSRRefD21_18_0x</vt:lpstr>
      <vt:lpstr>'300 &amp; 317'!OSRRefD21_18_0x</vt:lpstr>
      <vt:lpstr>'301'!OSRRefD21_18_0x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'310 &amp; 491'!OSRRefD21_18_1x</vt:lpstr>
      <vt:lpstr>'326'!OSRRefD21_18_1x</vt:lpstr>
      <vt:lpstr>'331'!OSRRefD21_18_1x</vt:lpstr>
      <vt:lpstr>'491'!OSRRefD21_18_1x</vt:lpstr>
      <vt:lpstr>'492'!OSRRefD21_18_1x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'301'!OSRRefD21_18_3x</vt:lpstr>
      <vt:lpstr>'310 &amp; 491'!OSRRefD21_18_3x</vt:lpstr>
      <vt:lpstr>'491'!OSRRefD21_18_3x</vt:lpstr>
      <vt:lpstr>'Div 3'!OSRRefD21_18_3x</vt:lpstr>
      <vt:lpstr>Summary!OSRRefD21_18_3x</vt:lpstr>
      <vt:lpstr>'301'!OSRRefD21_18_4x</vt:lpstr>
      <vt:lpstr>'310 &amp; 491'!OSRRefD21_18_4x</vt:lpstr>
      <vt:lpstr>'491'!OSRRefD21_18_4x</vt:lpstr>
      <vt:lpstr>'301'!OSRRefD21_18_5x</vt:lpstr>
      <vt:lpstr>'310 &amp; 491'!OSRRefD21_18_5x</vt:lpstr>
      <vt:lpstr>'491'!OSRRefD21_18_5x</vt:lpstr>
      <vt:lpstr>'301'!OSRRefD21_18_6x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'326'!OSRRefD21_18x_6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'326'!OSRRefD21_18x_7</vt:lpstr>
      <vt:lpstr>'331'!OSRRefD21_18x_7</vt:lpstr>
      <vt:lpstr>'491'!OSRRefD21_18x_7</vt:lpstr>
      <vt:lpstr>'492'!OSRRefD21_18x_7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'326'!OSRRefD21_18x_8</vt:lpstr>
      <vt:lpstr>'331'!OSRRefD21_18x_8</vt:lpstr>
      <vt:lpstr>'491'!OSRRefD21_18x_8</vt:lpstr>
      <vt:lpstr>'492'!OSRRefD21_18x_8</vt:lpstr>
      <vt:lpstr>'Div 2'!OSRRefD21_18x_8</vt:lpstr>
      <vt:lpstr>'Div 3'!OSRRefD21_18x_8</vt:lpstr>
      <vt:lpstr>'Div 4'!OSRRefD21_18x_8</vt:lpstr>
      <vt:lpstr>Summary!OSRRefD21_18x_8</vt:lpstr>
      <vt:lpstr>'300'!OSRRefD21_18x_9</vt:lpstr>
      <vt:lpstr>'300 &amp; 317'!OSRRefD21_18x_9</vt:lpstr>
      <vt:lpstr>'301'!OSRRefD21_18x_9</vt:lpstr>
      <vt:lpstr>'310 &amp; 491'!OSRRefD21_18x_9</vt:lpstr>
      <vt:lpstr>'326'!OSRRefD21_18x_9</vt:lpstr>
      <vt:lpstr>'331'!OSRRefD21_18x_9</vt:lpstr>
      <vt:lpstr>'491'!OSRRefD21_18x_9</vt:lpstr>
      <vt:lpstr>'492'!OSRRefD21_18x_9</vt:lpstr>
      <vt:lpstr>'Div 2'!OSRRefD21_18x_9</vt:lpstr>
      <vt:lpstr>'Div 3'!OSRRefD21_18x_9</vt:lpstr>
      <vt:lpstr>'Div 4'!OSRRefD21_18x_9</vt:lpstr>
      <vt:lpstr>Summary!OSRRefD21_18x_9</vt:lpstr>
      <vt:lpstr>'300'!OSRRefD21_19_0x</vt:lpstr>
      <vt:lpstr>'300 &amp; 317'!OSRRefD21_19_0x</vt:lpstr>
      <vt:lpstr>'301'!OSRRefD21_19_0x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'326'!OSRRefD21_19x_6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'326'!OSRRefD21_19x_7</vt:lpstr>
      <vt:lpstr>'331'!OSRRefD21_19x_7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'326'!OSRRefD21_19x_8</vt:lpstr>
      <vt:lpstr>'331'!OSRRefD21_19x_8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'300'!OSRRefD21_19x_9</vt:lpstr>
      <vt:lpstr>'300 &amp; 317'!OSRRefD21_19x_9</vt:lpstr>
      <vt:lpstr>'301'!OSRRefD21_19x_9</vt:lpstr>
      <vt:lpstr>'310 &amp; 491'!OSRRefD21_19x_9</vt:lpstr>
      <vt:lpstr>'326'!OSRRefD21_19x_9</vt:lpstr>
      <vt:lpstr>'331'!OSRRefD21_19x_9</vt:lpstr>
      <vt:lpstr>'491'!OSRRefD21_19x_9</vt:lpstr>
      <vt:lpstr>'Div 2'!OSRRefD21_19x_9</vt:lpstr>
      <vt:lpstr>'Div 3'!OSRRefD21_19x_9</vt:lpstr>
      <vt:lpstr>'Div 4'!OSRRefD21_19x_9</vt:lpstr>
      <vt:lpstr>Summary!OSRRefD21_19x_9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'306'!OSRRefD21_1x_0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'327'!OSRRefD21_1x_0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'420'!OSRRefD21_1x_0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'306'!OSRRefD21_1x_1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'327'!OSRRefD21_1x_1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'420'!OSRRefD21_1x_1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'306'!OSRRefD21_1x_2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'327'!OSRRefD21_1x_2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'420'!OSRRefD21_1x_2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'306'!OSRRefD21_1x_3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'327'!OSRRefD21_1x_3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'420'!OSRRefD21_1x_3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'306'!OSRRefD21_1x_4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'327'!OSRRefD21_1x_4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'420'!OSRRefD21_1x_4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'306'!OSRRefD21_1x_5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'327'!OSRRefD21_1x_5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'420'!OSRRefD21_1x_5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'306'!OSRRefD21_1x_6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'324'!OSRRefD21_1x_6</vt:lpstr>
      <vt:lpstr>'325'!OSRRefD21_1x_6</vt:lpstr>
      <vt:lpstr>'326'!OSRRefD21_1x_6</vt:lpstr>
      <vt:lpstr>'327'!OSRRefD21_1x_6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'420'!OSRRefD21_1x_6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'306'!OSRRefD21_1x_7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'322'!OSRRefD21_1x_7</vt:lpstr>
      <vt:lpstr>'324'!OSRRefD21_1x_7</vt:lpstr>
      <vt:lpstr>'325'!OSRRefD21_1x_7</vt:lpstr>
      <vt:lpstr>'326'!OSRRefD21_1x_7</vt:lpstr>
      <vt:lpstr>'327'!OSRRefD21_1x_7</vt:lpstr>
      <vt:lpstr>'330'!OSRRefD21_1x_7</vt:lpstr>
      <vt:lpstr>'331'!OSRRefD21_1x_7</vt:lpstr>
      <vt:lpstr>'332'!OSRRefD21_1x_7</vt:lpstr>
      <vt:lpstr>'405'!OSRRefD21_1x_7</vt:lpstr>
      <vt:lpstr>'406'!OSRRefD21_1x_7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'420'!OSRRefD21_1x_7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'306'!OSRRefD21_1x_8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'322'!OSRRefD21_1x_8</vt:lpstr>
      <vt:lpstr>'324'!OSRRefD21_1x_8</vt:lpstr>
      <vt:lpstr>'325'!OSRRefD21_1x_8</vt:lpstr>
      <vt:lpstr>'326'!OSRRefD21_1x_8</vt:lpstr>
      <vt:lpstr>'327'!OSRRefD21_1x_8</vt:lpstr>
      <vt:lpstr>'330'!OSRRefD21_1x_8</vt:lpstr>
      <vt:lpstr>'331'!OSRRefD21_1x_8</vt:lpstr>
      <vt:lpstr>'332'!OSRRefD21_1x_8</vt:lpstr>
      <vt:lpstr>'405'!OSRRefD21_1x_8</vt:lpstr>
      <vt:lpstr>'406'!OSRRefD21_1x_8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'420'!OSRRefD21_1x_8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'200'!OSRRefD21_1x_9</vt:lpstr>
      <vt:lpstr>'201'!OSRRefD21_1x_9</vt:lpstr>
      <vt:lpstr>'202'!OSRRefD21_1x_9</vt:lpstr>
      <vt:lpstr>'203'!OSRRefD21_1x_9</vt:lpstr>
      <vt:lpstr>'204'!OSRRefD21_1x_9</vt:lpstr>
      <vt:lpstr>'205'!OSRRefD21_1x_9</vt:lpstr>
      <vt:lpstr>'206'!OSRRefD21_1x_9</vt:lpstr>
      <vt:lpstr>'300'!OSRRefD21_1x_9</vt:lpstr>
      <vt:lpstr>'300 &amp; 317'!OSRRefD21_1x_9</vt:lpstr>
      <vt:lpstr>'301'!OSRRefD21_1x_9</vt:lpstr>
      <vt:lpstr>'306'!OSRRefD21_1x_9</vt:lpstr>
      <vt:lpstr>'307'!OSRRefD21_1x_9</vt:lpstr>
      <vt:lpstr>'308'!OSRRefD21_1x_9</vt:lpstr>
      <vt:lpstr>'309'!OSRRefD21_1x_9</vt:lpstr>
      <vt:lpstr>'310'!OSRRefD21_1x_9</vt:lpstr>
      <vt:lpstr>'310 &amp; 491'!OSRRefD21_1x_9</vt:lpstr>
      <vt:lpstr>'311'!OSRRefD21_1x_9</vt:lpstr>
      <vt:lpstr>'313'!OSRRefD21_1x_9</vt:lpstr>
      <vt:lpstr>'315'!OSRRefD21_1x_9</vt:lpstr>
      <vt:lpstr>'316'!OSRRefD21_1x_9</vt:lpstr>
      <vt:lpstr>'317'!OSRRefD21_1x_9</vt:lpstr>
      <vt:lpstr>'321'!OSRRefD21_1x_9</vt:lpstr>
      <vt:lpstr>'322'!OSRRefD21_1x_9</vt:lpstr>
      <vt:lpstr>'324'!OSRRefD21_1x_9</vt:lpstr>
      <vt:lpstr>'325'!OSRRefD21_1x_9</vt:lpstr>
      <vt:lpstr>'326'!OSRRefD21_1x_9</vt:lpstr>
      <vt:lpstr>'327'!OSRRefD21_1x_9</vt:lpstr>
      <vt:lpstr>'330'!OSRRefD21_1x_9</vt:lpstr>
      <vt:lpstr>'331'!OSRRefD21_1x_9</vt:lpstr>
      <vt:lpstr>'332'!OSRRefD21_1x_9</vt:lpstr>
      <vt:lpstr>'405'!OSRRefD21_1x_9</vt:lpstr>
      <vt:lpstr>'406'!OSRRefD21_1x_9</vt:lpstr>
      <vt:lpstr>'411'!OSRRefD21_1x_9</vt:lpstr>
      <vt:lpstr>'412'!OSRRefD21_1x_9</vt:lpstr>
      <vt:lpstr>'413'!OSRRefD21_1x_9</vt:lpstr>
      <vt:lpstr>'414'!OSRRefD21_1x_9</vt:lpstr>
      <vt:lpstr>'415'!OSRRefD21_1x_9</vt:lpstr>
      <vt:lpstr>'418'!OSRRefD21_1x_9</vt:lpstr>
      <vt:lpstr>'420'!OSRRefD21_1x_9</vt:lpstr>
      <vt:lpstr>'423'!OSRRefD21_1x_9</vt:lpstr>
      <vt:lpstr>'424'!OSRRefD21_1x_9</vt:lpstr>
      <vt:lpstr>'425'!OSRRefD21_1x_9</vt:lpstr>
      <vt:lpstr>'430'!OSRRefD21_1x_9</vt:lpstr>
      <vt:lpstr>'433'!OSRRefD21_1x_9</vt:lpstr>
      <vt:lpstr>'444'!OSRRefD21_1x_9</vt:lpstr>
      <vt:lpstr>'450'!OSRRefD21_1x_9</vt:lpstr>
      <vt:lpstr>'491'!OSRRefD21_1x_9</vt:lpstr>
      <vt:lpstr>'492'!OSRRefD21_1x_9</vt:lpstr>
      <vt:lpstr>'501'!OSRRefD21_1x_9</vt:lpstr>
      <vt:lpstr>'Div 2'!OSRRefD21_1x_9</vt:lpstr>
      <vt:lpstr>'Div 3'!OSRRefD21_1x_9</vt:lpstr>
      <vt:lpstr>'Div 4'!OSRRefD21_1x_9</vt:lpstr>
      <vt:lpstr>'Div 5'!OSRRefD21_1x_9</vt:lpstr>
      <vt:lpstr>'Div 6'!OSRRefD21_1x_9</vt:lpstr>
      <vt:lpstr>Summary!OSRRefD21_1x_9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'306'!OSRRefD21_2_0x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'491'!OSRRefD21_20x_8</vt:lpstr>
      <vt:lpstr>'Div 3'!OSRRefD21_20x_8</vt:lpstr>
      <vt:lpstr>'Div 4'!OSRRefD21_20x_8</vt:lpstr>
      <vt:lpstr>Summary!OSRRefD21_20x_8</vt:lpstr>
      <vt:lpstr>'300'!OSRRefD21_20x_9</vt:lpstr>
      <vt:lpstr>'300 &amp; 317'!OSRRefD21_20x_9</vt:lpstr>
      <vt:lpstr>'301'!OSRRefD21_20x_9</vt:lpstr>
      <vt:lpstr>'310 &amp; 491'!OSRRefD21_20x_9</vt:lpstr>
      <vt:lpstr>'331'!OSRRefD21_20x_9</vt:lpstr>
      <vt:lpstr>'491'!OSRRefD21_20x_9</vt:lpstr>
      <vt:lpstr>'Div 3'!OSRRefD21_20x_9</vt:lpstr>
      <vt:lpstr>'Div 4'!OSRRefD21_20x_9</vt:lpstr>
      <vt:lpstr>Summary!OSRRefD21_20x_9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'331'!OSRRefD21_21x_7</vt:lpstr>
      <vt:lpstr>'491'!OSRRefD21_21x_7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'310 &amp; 491'!OSRRefD21_21x_8</vt:lpstr>
      <vt:lpstr>'331'!OSRRefD21_21x_8</vt:lpstr>
      <vt:lpstr>'491'!OSRRefD21_21x_8</vt:lpstr>
      <vt:lpstr>'Div 3'!OSRRefD21_21x_8</vt:lpstr>
      <vt:lpstr>'Div 4'!OSRRefD21_21x_8</vt:lpstr>
      <vt:lpstr>Summary!OSRRefD21_21x_8</vt:lpstr>
      <vt:lpstr>'300'!OSRRefD21_21x_9</vt:lpstr>
      <vt:lpstr>'300 &amp; 317'!OSRRefD21_21x_9</vt:lpstr>
      <vt:lpstr>'301'!OSRRefD21_21x_9</vt:lpstr>
      <vt:lpstr>'310 &amp; 491'!OSRRefD21_21x_9</vt:lpstr>
      <vt:lpstr>'331'!OSRRefD21_21x_9</vt:lpstr>
      <vt:lpstr>'491'!OSRRefD21_21x_9</vt:lpstr>
      <vt:lpstr>'Div 3'!OSRRefD21_21x_9</vt:lpstr>
      <vt:lpstr>'Div 4'!OSRRefD21_21x_9</vt:lpstr>
      <vt:lpstr>Summary!OSRRefD21_21x_9</vt:lpstr>
      <vt:lpstr>'300'!OSRRefD21_22_0x</vt:lpstr>
      <vt:lpstr>'300 &amp; 317'!OSRRefD21_22_0x</vt:lpstr>
      <vt:lpstr>'301'!OSRRefD21_22_0x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'Div 4'!OSRRefD21_22_2x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'310 &amp; 491'!OSRRefD21_22x_6</vt:lpstr>
      <vt:lpstr>'491'!OSRRefD21_22x_6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'310 &amp; 491'!OSRRefD21_22x_7</vt:lpstr>
      <vt:lpstr>'491'!OSRRefD21_22x_7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'301'!OSRRefD21_22x_8</vt:lpstr>
      <vt:lpstr>'310 &amp; 491'!OSRRefD21_22x_8</vt:lpstr>
      <vt:lpstr>'491'!OSRRefD21_22x_8</vt:lpstr>
      <vt:lpstr>'Div 3'!OSRRefD21_22x_8</vt:lpstr>
      <vt:lpstr>'Div 4'!OSRRefD21_22x_8</vt:lpstr>
      <vt:lpstr>Summary!OSRRefD21_22x_8</vt:lpstr>
      <vt:lpstr>'300'!OSRRefD21_22x_9</vt:lpstr>
      <vt:lpstr>'300 &amp; 317'!OSRRefD21_22x_9</vt:lpstr>
      <vt:lpstr>'301'!OSRRefD21_22x_9</vt:lpstr>
      <vt:lpstr>'310 &amp; 491'!OSRRefD21_22x_9</vt:lpstr>
      <vt:lpstr>'491'!OSRRefD21_22x_9</vt:lpstr>
      <vt:lpstr>'Div 3'!OSRRefD21_22x_9</vt:lpstr>
      <vt:lpstr>'Div 4'!OSRRefD21_22x_9</vt:lpstr>
      <vt:lpstr>Summary!OSRRefD21_22x_9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'300'!OSRRefD21_23x_7</vt:lpstr>
      <vt:lpstr>'300 &amp; 317'!OSRRefD21_23x_7</vt:lpstr>
      <vt:lpstr>'Div 3'!OSRRefD21_23x_7</vt:lpstr>
      <vt:lpstr>'Div 4'!OSRRefD21_23x_7</vt:lpstr>
      <vt:lpstr>Summary!OSRRefD21_23x_7</vt:lpstr>
      <vt:lpstr>'300'!OSRRefD21_23x_8</vt:lpstr>
      <vt:lpstr>'300 &amp; 317'!OSRRefD21_23x_8</vt:lpstr>
      <vt:lpstr>'Div 3'!OSRRefD21_23x_8</vt:lpstr>
      <vt:lpstr>'Div 4'!OSRRefD21_23x_8</vt:lpstr>
      <vt:lpstr>Summary!OSRRefD21_23x_8</vt:lpstr>
      <vt:lpstr>'300'!OSRRefD21_23x_9</vt:lpstr>
      <vt:lpstr>'300 &amp; 317'!OSRRefD21_23x_9</vt:lpstr>
      <vt:lpstr>'Div 3'!OSRRefD21_23x_9</vt:lpstr>
      <vt:lpstr>'Div 4'!OSRRefD21_23x_9</vt:lpstr>
      <vt:lpstr>Summary!OSRRefD21_23x_9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'300'!OSRRefD21_24x_9</vt:lpstr>
      <vt:lpstr>'300 &amp; 317'!OSRRefD21_24x_9</vt:lpstr>
      <vt:lpstr>'Div 3'!OSRRefD21_24x_9</vt:lpstr>
      <vt:lpstr>Summary!OSRRefD21_24x_9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'Div 3'!OSRRefD21_25x_9</vt:lpstr>
      <vt:lpstr>Summary!OSRRefD21_25x_9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Summary!OSRRefD21_26x_9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'306'!OSRRefD21_2x_0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'306'!OSRRefD21_2x_1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'306'!OSRRefD21_2x_2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'306'!OSRRefD21_2x_3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'306'!OSRRefD21_2x_4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'306'!OSRRefD21_2x_5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'306'!OSRRefD21_2x_6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'306'!OSRRefD21_2x_7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'322'!OSRRefD21_2x_7</vt:lpstr>
      <vt:lpstr>'325'!OSRRefD21_2x_7</vt:lpstr>
      <vt:lpstr>'326'!OSRRefD21_2x_7</vt:lpstr>
      <vt:lpstr>'330'!OSRRefD21_2x_7</vt:lpstr>
      <vt:lpstr>'331'!OSRRefD21_2x_7</vt:lpstr>
      <vt:lpstr>'332'!OSRRefD21_2x_7</vt:lpstr>
      <vt:lpstr>'405'!OSRRefD21_2x_7</vt:lpstr>
      <vt:lpstr>'406'!OSRRefD21_2x_7</vt:lpstr>
      <vt:lpstr>'411'!OSRRefD21_2x_7</vt:lpstr>
      <vt:lpstr>'412'!OSRRefD21_2x_7</vt:lpstr>
      <vt:lpstr>'413'!OSRRefD21_2x_7</vt:lpstr>
      <vt:lpstr>'414'!OSRRefD21_2x_7</vt:lpstr>
      <vt:lpstr>'415'!OSRRefD21_2x_7</vt:lpstr>
      <vt:lpstr>'418'!OSRRefD21_2x_7</vt:lpstr>
      <vt:lpstr>'423'!OSRRefD21_2x_7</vt:lpstr>
      <vt:lpstr>'424'!OSRRefD21_2x_7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'306'!OSRRefD21_2x_8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'322'!OSRRefD21_2x_8</vt:lpstr>
      <vt:lpstr>'325'!OSRRefD21_2x_8</vt:lpstr>
      <vt:lpstr>'326'!OSRRefD21_2x_8</vt:lpstr>
      <vt:lpstr>'330'!OSRRefD21_2x_8</vt:lpstr>
      <vt:lpstr>'331'!OSRRefD21_2x_8</vt:lpstr>
      <vt:lpstr>'332'!OSRRefD21_2x_8</vt:lpstr>
      <vt:lpstr>'405'!OSRRefD21_2x_8</vt:lpstr>
      <vt:lpstr>'406'!OSRRefD21_2x_8</vt:lpstr>
      <vt:lpstr>'411'!OSRRefD21_2x_8</vt:lpstr>
      <vt:lpstr>'412'!OSRRefD21_2x_8</vt:lpstr>
      <vt:lpstr>'413'!OSRRefD21_2x_8</vt:lpstr>
      <vt:lpstr>'414'!OSRRefD21_2x_8</vt:lpstr>
      <vt:lpstr>'415'!OSRRefD21_2x_8</vt:lpstr>
      <vt:lpstr>'418'!OSRRefD21_2x_8</vt:lpstr>
      <vt:lpstr>'423'!OSRRefD21_2x_8</vt:lpstr>
      <vt:lpstr>'424'!OSRRefD21_2x_8</vt:lpstr>
      <vt:lpstr>'425'!OSRRefD21_2x_8</vt:lpstr>
      <vt:lpstr>'430'!OSRRefD21_2x_8</vt:lpstr>
      <vt:lpstr>'433'!OSRRefD21_2x_8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'200'!OSRRefD21_2x_9</vt:lpstr>
      <vt:lpstr>'201'!OSRRefD21_2x_9</vt:lpstr>
      <vt:lpstr>'202'!OSRRefD21_2x_9</vt:lpstr>
      <vt:lpstr>'203'!OSRRefD21_2x_9</vt:lpstr>
      <vt:lpstr>'204'!OSRRefD21_2x_9</vt:lpstr>
      <vt:lpstr>'205'!OSRRefD21_2x_9</vt:lpstr>
      <vt:lpstr>'206'!OSRRefD21_2x_9</vt:lpstr>
      <vt:lpstr>'300'!OSRRefD21_2x_9</vt:lpstr>
      <vt:lpstr>'300 &amp; 317'!OSRRefD21_2x_9</vt:lpstr>
      <vt:lpstr>'301'!OSRRefD21_2x_9</vt:lpstr>
      <vt:lpstr>'306'!OSRRefD21_2x_9</vt:lpstr>
      <vt:lpstr>'307'!OSRRefD21_2x_9</vt:lpstr>
      <vt:lpstr>'308'!OSRRefD21_2x_9</vt:lpstr>
      <vt:lpstr>'309'!OSRRefD21_2x_9</vt:lpstr>
      <vt:lpstr>'310'!OSRRefD21_2x_9</vt:lpstr>
      <vt:lpstr>'310 &amp; 491'!OSRRefD21_2x_9</vt:lpstr>
      <vt:lpstr>'311'!OSRRefD21_2x_9</vt:lpstr>
      <vt:lpstr>'313'!OSRRefD21_2x_9</vt:lpstr>
      <vt:lpstr>'315'!OSRRefD21_2x_9</vt:lpstr>
      <vt:lpstr>'316'!OSRRefD21_2x_9</vt:lpstr>
      <vt:lpstr>'317'!OSRRefD21_2x_9</vt:lpstr>
      <vt:lpstr>'321'!OSRRefD21_2x_9</vt:lpstr>
      <vt:lpstr>'322'!OSRRefD21_2x_9</vt:lpstr>
      <vt:lpstr>'325'!OSRRefD21_2x_9</vt:lpstr>
      <vt:lpstr>'326'!OSRRefD21_2x_9</vt:lpstr>
      <vt:lpstr>'330'!OSRRefD21_2x_9</vt:lpstr>
      <vt:lpstr>'331'!OSRRefD21_2x_9</vt:lpstr>
      <vt:lpstr>'332'!OSRRefD21_2x_9</vt:lpstr>
      <vt:lpstr>'405'!OSRRefD21_2x_9</vt:lpstr>
      <vt:lpstr>'406'!OSRRefD21_2x_9</vt:lpstr>
      <vt:lpstr>'411'!OSRRefD21_2x_9</vt:lpstr>
      <vt:lpstr>'412'!OSRRefD21_2x_9</vt:lpstr>
      <vt:lpstr>'413'!OSRRefD21_2x_9</vt:lpstr>
      <vt:lpstr>'414'!OSRRefD21_2x_9</vt:lpstr>
      <vt:lpstr>'415'!OSRRefD21_2x_9</vt:lpstr>
      <vt:lpstr>'418'!OSRRefD21_2x_9</vt:lpstr>
      <vt:lpstr>'423'!OSRRefD21_2x_9</vt:lpstr>
      <vt:lpstr>'424'!OSRRefD21_2x_9</vt:lpstr>
      <vt:lpstr>'425'!OSRRefD21_2x_9</vt:lpstr>
      <vt:lpstr>'430'!OSRRefD21_2x_9</vt:lpstr>
      <vt:lpstr>'433'!OSRRefD21_2x_9</vt:lpstr>
      <vt:lpstr>'444'!OSRRefD21_2x_9</vt:lpstr>
      <vt:lpstr>'450'!OSRRefD21_2x_9</vt:lpstr>
      <vt:lpstr>'491'!OSRRefD21_2x_9</vt:lpstr>
      <vt:lpstr>'492'!OSRRefD21_2x_9</vt:lpstr>
      <vt:lpstr>'501'!OSRRefD21_2x_9</vt:lpstr>
      <vt:lpstr>'Div 2'!OSRRefD21_2x_9</vt:lpstr>
      <vt:lpstr>'Div 3'!OSRRefD21_2x_9</vt:lpstr>
      <vt:lpstr>'Div 4'!OSRRefD21_2x_9</vt:lpstr>
      <vt:lpstr>'Div 5'!OSRRefD21_2x_9</vt:lpstr>
      <vt:lpstr>'Div 6'!OSRRefD21_2x_9</vt:lpstr>
      <vt:lpstr>Summary!OSRRefD21_2x_9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'306'!OSRRefD21_3_0x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'300'!OSRRefD21_3_1x</vt:lpstr>
      <vt:lpstr>'300 &amp; 317'!OSRRefD21_3_1x</vt:lpstr>
      <vt:lpstr>'301'!OSRRefD21_3_1x</vt:lpstr>
      <vt:lpstr>'308'!OSRRefD21_3_1x</vt:lpstr>
      <vt:lpstr>'311'!OSRRefD21_3_1x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'306'!OSRRefD21_3x_0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'306'!OSRRefD21_3x_1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'306'!OSRRefD21_3x_2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'306'!OSRRefD21_3x_3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'306'!OSRRefD21_3x_4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'306'!OSRRefD21_3x_5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'306'!OSRRefD21_3x_6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'423'!OSRRefD21_3x_6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'306'!OSRRefD21_3x_7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'313'!OSRRefD21_3x_7</vt:lpstr>
      <vt:lpstr>'315'!OSRRefD21_3x_7</vt:lpstr>
      <vt:lpstr>'316'!OSRRefD21_3x_7</vt:lpstr>
      <vt:lpstr>'317'!OSRRefD21_3x_7</vt:lpstr>
      <vt:lpstr>'321'!OSRRefD21_3x_7</vt:lpstr>
      <vt:lpstr>'322'!OSRRefD21_3x_7</vt:lpstr>
      <vt:lpstr>'325'!OSRRefD21_3x_7</vt:lpstr>
      <vt:lpstr>'326'!OSRRefD21_3x_7</vt:lpstr>
      <vt:lpstr>'330'!OSRRefD21_3x_7</vt:lpstr>
      <vt:lpstr>'331'!OSRRefD21_3x_7</vt:lpstr>
      <vt:lpstr>'332'!OSRRefD21_3x_7</vt:lpstr>
      <vt:lpstr>'405'!OSRRefD21_3x_7</vt:lpstr>
      <vt:lpstr>'406'!OSRRefD21_3x_7</vt:lpstr>
      <vt:lpstr>'411'!OSRRefD21_3x_7</vt:lpstr>
      <vt:lpstr>'412'!OSRRefD21_3x_7</vt:lpstr>
      <vt:lpstr>'413'!OSRRefD21_3x_7</vt:lpstr>
      <vt:lpstr>'414'!OSRRefD21_3x_7</vt:lpstr>
      <vt:lpstr>'415'!OSRRefD21_3x_7</vt:lpstr>
      <vt:lpstr>'418'!OSRRefD21_3x_7</vt:lpstr>
      <vt:lpstr>'423'!OSRRefD21_3x_7</vt:lpstr>
      <vt:lpstr>'424'!OSRRefD21_3x_7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'306'!OSRRefD21_3x_8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'313'!OSRRefD21_3x_8</vt:lpstr>
      <vt:lpstr>'315'!OSRRefD21_3x_8</vt:lpstr>
      <vt:lpstr>'316'!OSRRefD21_3x_8</vt:lpstr>
      <vt:lpstr>'317'!OSRRefD21_3x_8</vt:lpstr>
      <vt:lpstr>'321'!OSRRefD21_3x_8</vt:lpstr>
      <vt:lpstr>'322'!OSRRefD21_3x_8</vt:lpstr>
      <vt:lpstr>'325'!OSRRefD21_3x_8</vt:lpstr>
      <vt:lpstr>'326'!OSRRefD21_3x_8</vt:lpstr>
      <vt:lpstr>'330'!OSRRefD21_3x_8</vt:lpstr>
      <vt:lpstr>'331'!OSRRefD21_3x_8</vt:lpstr>
      <vt:lpstr>'332'!OSRRefD21_3x_8</vt:lpstr>
      <vt:lpstr>'405'!OSRRefD21_3x_8</vt:lpstr>
      <vt:lpstr>'406'!OSRRefD21_3x_8</vt:lpstr>
      <vt:lpstr>'411'!OSRRefD21_3x_8</vt:lpstr>
      <vt:lpstr>'412'!OSRRefD21_3x_8</vt:lpstr>
      <vt:lpstr>'413'!OSRRefD21_3x_8</vt:lpstr>
      <vt:lpstr>'414'!OSRRefD21_3x_8</vt:lpstr>
      <vt:lpstr>'415'!OSRRefD21_3x_8</vt:lpstr>
      <vt:lpstr>'418'!OSRRefD21_3x_8</vt:lpstr>
      <vt:lpstr>'423'!OSRRefD21_3x_8</vt:lpstr>
      <vt:lpstr>'424'!OSRRefD21_3x_8</vt:lpstr>
      <vt:lpstr>'425'!OSRRefD21_3x_8</vt:lpstr>
      <vt:lpstr>'430'!OSRRefD21_3x_8</vt:lpstr>
      <vt:lpstr>'433'!OSRRefD21_3x_8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'200'!OSRRefD21_3x_9</vt:lpstr>
      <vt:lpstr>'201'!OSRRefD21_3x_9</vt:lpstr>
      <vt:lpstr>'202'!OSRRefD21_3x_9</vt:lpstr>
      <vt:lpstr>'203'!OSRRefD21_3x_9</vt:lpstr>
      <vt:lpstr>'204'!OSRRefD21_3x_9</vt:lpstr>
      <vt:lpstr>'205'!OSRRefD21_3x_9</vt:lpstr>
      <vt:lpstr>'206'!OSRRefD21_3x_9</vt:lpstr>
      <vt:lpstr>'300'!OSRRefD21_3x_9</vt:lpstr>
      <vt:lpstr>'300 &amp; 317'!OSRRefD21_3x_9</vt:lpstr>
      <vt:lpstr>'301'!OSRRefD21_3x_9</vt:lpstr>
      <vt:lpstr>'306'!OSRRefD21_3x_9</vt:lpstr>
      <vt:lpstr>'307'!OSRRefD21_3x_9</vt:lpstr>
      <vt:lpstr>'308'!OSRRefD21_3x_9</vt:lpstr>
      <vt:lpstr>'309'!OSRRefD21_3x_9</vt:lpstr>
      <vt:lpstr>'310'!OSRRefD21_3x_9</vt:lpstr>
      <vt:lpstr>'310 &amp; 491'!OSRRefD21_3x_9</vt:lpstr>
      <vt:lpstr>'311'!OSRRefD21_3x_9</vt:lpstr>
      <vt:lpstr>'313'!OSRRefD21_3x_9</vt:lpstr>
      <vt:lpstr>'315'!OSRRefD21_3x_9</vt:lpstr>
      <vt:lpstr>'316'!OSRRefD21_3x_9</vt:lpstr>
      <vt:lpstr>'317'!OSRRefD21_3x_9</vt:lpstr>
      <vt:lpstr>'321'!OSRRefD21_3x_9</vt:lpstr>
      <vt:lpstr>'322'!OSRRefD21_3x_9</vt:lpstr>
      <vt:lpstr>'325'!OSRRefD21_3x_9</vt:lpstr>
      <vt:lpstr>'326'!OSRRefD21_3x_9</vt:lpstr>
      <vt:lpstr>'330'!OSRRefD21_3x_9</vt:lpstr>
      <vt:lpstr>'331'!OSRRefD21_3x_9</vt:lpstr>
      <vt:lpstr>'332'!OSRRefD21_3x_9</vt:lpstr>
      <vt:lpstr>'405'!OSRRefD21_3x_9</vt:lpstr>
      <vt:lpstr>'406'!OSRRefD21_3x_9</vt:lpstr>
      <vt:lpstr>'411'!OSRRefD21_3x_9</vt:lpstr>
      <vt:lpstr>'412'!OSRRefD21_3x_9</vt:lpstr>
      <vt:lpstr>'413'!OSRRefD21_3x_9</vt:lpstr>
      <vt:lpstr>'414'!OSRRefD21_3x_9</vt:lpstr>
      <vt:lpstr>'415'!OSRRefD21_3x_9</vt:lpstr>
      <vt:lpstr>'418'!OSRRefD21_3x_9</vt:lpstr>
      <vt:lpstr>'423'!OSRRefD21_3x_9</vt:lpstr>
      <vt:lpstr>'424'!OSRRefD21_3x_9</vt:lpstr>
      <vt:lpstr>'425'!OSRRefD21_3x_9</vt:lpstr>
      <vt:lpstr>'430'!OSRRefD21_3x_9</vt:lpstr>
      <vt:lpstr>'433'!OSRRefD21_3x_9</vt:lpstr>
      <vt:lpstr>'444'!OSRRefD21_3x_9</vt:lpstr>
      <vt:lpstr>'450'!OSRRefD21_3x_9</vt:lpstr>
      <vt:lpstr>'491'!OSRRefD21_3x_9</vt:lpstr>
      <vt:lpstr>'492'!OSRRefD21_3x_9</vt:lpstr>
      <vt:lpstr>'501'!OSRRefD21_3x_9</vt:lpstr>
      <vt:lpstr>'Div 2'!OSRRefD21_3x_9</vt:lpstr>
      <vt:lpstr>'Div 3'!OSRRefD21_3x_9</vt:lpstr>
      <vt:lpstr>'Div 4'!OSRRefD21_3x_9</vt:lpstr>
      <vt:lpstr>'Div 5'!OSRRefD21_3x_9</vt:lpstr>
      <vt:lpstr>'Div 6'!OSRRefD21_3x_9</vt:lpstr>
      <vt:lpstr>Summary!OSRRefD21_3x_9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'306'!OSRRefD21_4_0x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'430'!OSRRefD21_4_2x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'306'!OSRRefD21_4x_0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'306'!OSRRefD21_4x_1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'306'!OSRRefD21_4x_2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'306'!OSRRefD21_4x_3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'306'!OSRRefD21_4x_4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'306'!OSRRefD21_4x_5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'306'!OSRRefD21_4x_6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'306'!OSRRefD21_4x_7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'313'!OSRRefD21_4x_7</vt:lpstr>
      <vt:lpstr>'315'!OSRRefD21_4x_7</vt:lpstr>
      <vt:lpstr>'316'!OSRRefD21_4x_7</vt:lpstr>
      <vt:lpstr>'317'!OSRRefD21_4x_7</vt:lpstr>
      <vt:lpstr>'321'!OSRRefD21_4x_7</vt:lpstr>
      <vt:lpstr>'322'!OSRRefD21_4x_7</vt:lpstr>
      <vt:lpstr>'325'!OSRRefD21_4x_7</vt:lpstr>
      <vt:lpstr>'326'!OSRRefD21_4x_7</vt:lpstr>
      <vt:lpstr>'330'!OSRRefD21_4x_7</vt:lpstr>
      <vt:lpstr>'331'!OSRRefD21_4x_7</vt:lpstr>
      <vt:lpstr>'332'!OSRRefD21_4x_7</vt:lpstr>
      <vt:lpstr>'405'!OSRRefD21_4x_7</vt:lpstr>
      <vt:lpstr>'406'!OSRRefD21_4x_7</vt:lpstr>
      <vt:lpstr>'411'!OSRRefD21_4x_7</vt:lpstr>
      <vt:lpstr>'412'!OSRRefD21_4x_7</vt:lpstr>
      <vt:lpstr>'413'!OSRRefD21_4x_7</vt:lpstr>
      <vt:lpstr>'414'!OSRRefD21_4x_7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'306'!OSRRefD21_4x_8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'313'!OSRRefD21_4x_8</vt:lpstr>
      <vt:lpstr>'315'!OSRRefD21_4x_8</vt:lpstr>
      <vt:lpstr>'316'!OSRRefD21_4x_8</vt:lpstr>
      <vt:lpstr>'317'!OSRRefD21_4x_8</vt:lpstr>
      <vt:lpstr>'321'!OSRRefD21_4x_8</vt:lpstr>
      <vt:lpstr>'322'!OSRRefD21_4x_8</vt:lpstr>
      <vt:lpstr>'325'!OSRRefD21_4x_8</vt:lpstr>
      <vt:lpstr>'326'!OSRRefD21_4x_8</vt:lpstr>
      <vt:lpstr>'330'!OSRRefD21_4x_8</vt:lpstr>
      <vt:lpstr>'331'!OSRRefD21_4x_8</vt:lpstr>
      <vt:lpstr>'332'!OSRRefD21_4x_8</vt:lpstr>
      <vt:lpstr>'405'!OSRRefD21_4x_8</vt:lpstr>
      <vt:lpstr>'406'!OSRRefD21_4x_8</vt:lpstr>
      <vt:lpstr>'411'!OSRRefD21_4x_8</vt:lpstr>
      <vt:lpstr>'412'!OSRRefD21_4x_8</vt:lpstr>
      <vt:lpstr>'413'!OSRRefD21_4x_8</vt:lpstr>
      <vt:lpstr>'414'!OSRRefD21_4x_8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'201'!OSRRefD21_4x_9</vt:lpstr>
      <vt:lpstr>'202'!OSRRefD21_4x_9</vt:lpstr>
      <vt:lpstr>'203'!OSRRefD21_4x_9</vt:lpstr>
      <vt:lpstr>'204'!OSRRefD21_4x_9</vt:lpstr>
      <vt:lpstr>'205'!OSRRefD21_4x_9</vt:lpstr>
      <vt:lpstr>'206'!OSRRefD21_4x_9</vt:lpstr>
      <vt:lpstr>'300'!OSRRefD21_4x_9</vt:lpstr>
      <vt:lpstr>'300 &amp; 317'!OSRRefD21_4x_9</vt:lpstr>
      <vt:lpstr>'301'!OSRRefD21_4x_9</vt:lpstr>
      <vt:lpstr>'306'!OSRRefD21_4x_9</vt:lpstr>
      <vt:lpstr>'307'!OSRRefD21_4x_9</vt:lpstr>
      <vt:lpstr>'308'!OSRRefD21_4x_9</vt:lpstr>
      <vt:lpstr>'309'!OSRRefD21_4x_9</vt:lpstr>
      <vt:lpstr>'310'!OSRRefD21_4x_9</vt:lpstr>
      <vt:lpstr>'310 &amp; 491'!OSRRefD21_4x_9</vt:lpstr>
      <vt:lpstr>'311'!OSRRefD21_4x_9</vt:lpstr>
      <vt:lpstr>'313'!OSRRefD21_4x_9</vt:lpstr>
      <vt:lpstr>'315'!OSRRefD21_4x_9</vt:lpstr>
      <vt:lpstr>'316'!OSRRefD21_4x_9</vt:lpstr>
      <vt:lpstr>'317'!OSRRefD21_4x_9</vt:lpstr>
      <vt:lpstr>'321'!OSRRefD21_4x_9</vt:lpstr>
      <vt:lpstr>'322'!OSRRefD21_4x_9</vt:lpstr>
      <vt:lpstr>'325'!OSRRefD21_4x_9</vt:lpstr>
      <vt:lpstr>'326'!OSRRefD21_4x_9</vt:lpstr>
      <vt:lpstr>'330'!OSRRefD21_4x_9</vt:lpstr>
      <vt:lpstr>'331'!OSRRefD21_4x_9</vt:lpstr>
      <vt:lpstr>'332'!OSRRefD21_4x_9</vt:lpstr>
      <vt:lpstr>'405'!OSRRefD21_4x_9</vt:lpstr>
      <vt:lpstr>'406'!OSRRefD21_4x_9</vt:lpstr>
      <vt:lpstr>'411'!OSRRefD21_4x_9</vt:lpstr>
      <vt:lpstr>'412'!OSRRefD21_4x_9</vt:lpstr>
      <vt:lpstr>'413'!OSRRefD21_4x_9</vt:lpstr>
      <vt:lpstr>'414'!OSRRefD21_4x_9</vt:lpstr>
      <vt:lpstr>'415'!OSRRefD21_4x_9</vt:lpstr>
      <vt:lpstr>'418'!OSRRefD21_4x_9</vt:lpstr>
      <vt:lpstr>'423'!OSRRefD21_4x_9</vt:lpstr>
      <vt:lpstr>'425'!OSRRefD21_4x_9</vt:lpstr>
      <vt:lpstr>'430'!OSRRefD21_4x_9</vt:lpstr>
      <vt:lpstr>'433'!OSRRefD21_4x_9</vt:lpstr>
      <vt:lpstr>'444'!OSRRefD21_4x_9</vt:lpstr>
      <vt:lpstr>'450'!OSRRefD21_4x_9</vt:lpstr>
      <vt:lpstr>'491'!OSRRefD21_4x_9</vt:lpstr>
      <vt:lpstr>'492'!OSRRefD21_4x_9</vt:lpstr>
      <vt:lpstr>'501'!OSRRefD21_4x_9</vt:lpstr>
      <vt:lpstr>'Div 2'!OSRRefD21_4x_9</vt:lpstr>
      <vt:lpstr>'Div 3'!OSRRefD21_4x_9</vt:lpstr>
      <vt:lpstr>'Div 4'!OSRRefD21_4x_9</vt:lpstr>
      <vt:lpstr>'Div 5'!OSRRefD21_4x_9</vt:lpstr>
      <vt:lpstr>'Div 6'!OSRRefD21_4x_9</vt:lpstr>
      <vt:lpstr>Summary!OSRRefD21_4x_9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'306'!OSRRefD21_5_0x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'307'!OSRRefD21_5_1x</vt:lpstr>
      <vt:lpstr>'310'!OSRRefD21_5_1x</vt:lpstr>
      <vt:lpstr>'310 &amp; 491'!OSRRefD21_5_1x</vt:lpstr>
      <vt:lpstr>'315'!OSRRefD21_5_1x</vt:lpstr>
      <vt:lpstr>'325'!OSRRefD21_5_1x</vt:lpstr>
      <vt:lpstr>'330'!OSRRefD21_5_1x</vt:lpstr>
      <vt:lpstr>'331'!OSRRefD21_5_1x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'306'!OSRRefD21_5x_0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'306'!OSRRefD21_5x_1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'306'!OSRRefD21_5x_2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'306'!OSRRefD21_5x_3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'306'!OSRRefD21_5x_4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'306'!OSRRefD21_5x_5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'306'!OSRRefD21_5x_6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'423'!OSRRefD21_5x_6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'306'!OSRRefD21_5x_7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'313'!OSRRefD21_5x_7</vt:lpstr>
      <vt:lpstr>'315'!OSRRefD21_5x_7</vt:lpstr>
      <vt:lpstr>'316'!OSRRefD21_5x_7</vt:lpstr>
      <vt:lpstr>'317'!OSRRefD21_5x_7</vt:lpstr>
      <vt:lpstr>'321'!OSRRefD21_5x_7</vt:lpstr>
      <vt:lpstr>'322'!OSRRefD21_5x_7</vt:lpstr>
      <vt:lpstr>'325'!OSRRefD21_5x_7</vt:lpstr>
      <vt:lpstr>'326'!OSRRefD21_5x_7</vt:lpstr>
      <vt:lpstr>'330'!OSRRefD21_5x_7</vt:lpstr>
      <vt:lpstr>'331'!OSRRefD21_5x_7</vt:lpstr>
      <vt:lpstr>'332'!OSRRefD21_5x_7</vt:lpstr>
      <vt:lpstr>'405'!OSRRefD21_5x_7</vt:lpstr>
      <vt:lpstr>'411'!OSRRefD21_5x_7</vt:lpstr>
      <vt:lpstr>'412'!OSRRefD21_5x_7</vt:lpstr>
      <vt:lpstr>'413'!OSRRefD21_5x_7</vt:lpstr>
      <vt:lpstr>'414'!OSRRefD21_5x_7</vt:lpstr>
      <vt:lpstr>'415'!OSRRefD21_5x_7</vt:lpstr>
      <vt:lpstr>'418'!OSRRefD21_5x_7</vt:lpstr>
      <vt:lpstr>'423'!OSRRefD21_5x_7</vt:lpstr>
      <vt:lpstr>'425'!OSRRefD21_5x_7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'306'!OSRRefD21_5x_8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'313'!OSRRefD21_5x_8</vt:lpstr>
      <vt:lpstr>'315'!OSRRefD21_5x_8</vt:lpstr>
      <vt:lpstr>'316'!OSRRefD21_5x_8</vt:lpstr>
      <vt:lpstr>'317'!OSRRefD21_5x_8</vt:lpstr>
      <vt:lpstr>'321'!OSRRefD21_5x_8</vt:lpstr>
      <vt:lpstr>'322'!OSRRefD21_5x_8</vt:lpstr>
      <vt:lpstr>'325'!OSRRefD21_5x_8</vt:lpstr>
      <vt:lpstr>'326'!OSRRefD21_5x_8</vt:lpstr>
      <vt:lpstr>'330'!OSRRefD21_5x_8</vt:lpstr>
      <vt:lpstr>'331'!OSRRefD21_5x_8</vt:lpstr>
      <vt:lpstr>'332'!OSRRefD21_5x_8</vt:lpstr>
      <vt:lpstr>'405'!OSRRefD21_5x_8</vt:lpstr>
      <vt:lpstr>'411'!OSRRefD21_5x_8</vt:lpstr>
      <vt:lpstr>'412'!OSRRefD21_5x_8</vt:lpstr>
      <vt:lpstr>'413'!OSRRefD21_5x_8</vt:lpstr>
      <vt:lpstr>'414'!OSRRefD21_5x_8</vt:lpstr>
      <vt:lpstr>'415'!OSRRefD21_5x_8</vt:lpstr>
      <vt:lpstr>'418'!OSRRefD21_5x_8</vt:lpstr>
      <vt:lpstr>'423'!OSRRefD21_5x_8</vt:lpstr>
      <vt:lpstr>'425'!OSRRefD21_5x_8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'201'!OSRRefD21_5x_9</vt:lpstr>
      <vt:lpstr>'202'!OSRRefD21_5x_9</vt:lpstr>
      <vt:lpstr>'203'!OSRRefD21_5x_9</vt:lpstr>
      <vt:lpstr>'204'!OSRRefD21_5x_9</vt:lpstr>
      <vt:lpstr>'205'!OSRRefD21_5x_9</vt:lpstr>
      <vt:lpstr>'206'!OSRRefD21_5x_9</vt:lpstr>
      <vt:lpstr>'300'!OSRRefD21_5x_9</vt:lpstr>
      <vt:lpstr>'300 &amp; 317'!OSRRefD21_5x_9</vt:lpstr>
      <vt:lpstr>'301'!OSRRefD21_5x_9</vt:lpstr>
      <vt:lpstr>'306'!OSRRefD21_5x_9</vt:lpstr>
      <vt:lpstr>'307'!OSRRefD21_5x_9</vt:lpstr>
      <vt:lpstr>'308'!OSRRefD21_5x_9</vt:lpstr>
      <vt:lpstr>'309'!OSRRefD21_5x_9</vt:lpstr>
      <vt:lpstr>'310'!OSRRefD21_5x_9</vt:lpstr>
      <vt:lpstr>'310 &amp; 491'!OSRRefD21_5x_9</vt:lpstr>
      <vt:lpstr>'311'!OSRRefD21_5x_9</vt:lpstr>
      <vt:lpstr>'313'!OSRRefD21_5x_9</vt:lpstr>
      <vt:lpstr>'315'!OSRRefD21_5x_9</vt:lpstr>
      <vt:lpstr>'316'!OSRRefD21_5x_9</vt:lpstr>
      <vt:lpstr>'317'!OSRRefD21_5x_9</vt:lpstr>
      <vt:lpstr>'321'!OSRRefD21_5x_9</vt:lpstr>
      <vt:lpstr>'322'!OSRRefD21_5x_9</vt:lpstr>
      <vt:lpstr>'325'!OSRRefD21_5x_9</vt:lpstr>
      <vt:lpstr>'326'!OSRRefD21_5x_9</vt:lpstr>
      <vt:lpstr>'330'!OSRRefD21_5x_9</vt:lpstr>
      <vt:lpstr>'331'!OSRRefD21_5x_9</vt:lpstr>
      <vt:lpstr>'332'!OSRRefD21_5x_9</vt:lpstr>
      <vt:lpstr>'405'!OSRRefD21_5x_9</vt:lpstr>
      <vt:lpstr>'411'!OSRRefD21_5x_9</vt:lpstr>
      <vt:lpstr>'412'!OSRRefD21_5x_9</vt:lpstr>
      <vt:lpstr>'413'!OSRRefD21_5x_9</vt:lpstr>
      <vt:lpstr>'414'!OSRRefD21_5x_9</vt:lpstr>
      <vt:lpstr>'415'!OSRRefD21_5x_9</vt:lpstr>
      <vt:lpstr>'418'!OSRRefD21_5x_9</vt:lpstr>
      <vt:lpstr>'423'!OSRRefD21_5x_9</vt:lpstr>
      <vt:lpstr>'425'!OSRRefD21_5x_9</vt:lpstr>
      <vt:lpstr>'430'!OSRRefD21_5x_9</vt:lpstr>
      <vt:lpstr>'433'!OSRRefD21_5x_9</vt:lpstr>
      <vt:lpstr>'444'!OSRRefD21_5x_9</vt:lpstr>
      <vt:lpstr>'450'!OSRRefD21_5x_9</vt:lpstr>
      <vt:lpstr>'491'!OSRRefD21_5x_9</vt:lpstr>
      <vt:lpstr>'492'!OSRRefD21_5x_9</vt:lpstr>
      <vt:lpstr>'501'!OSRRefD21_5x_9</vt:lpstr>
      <vt:lpstr>'Div 2'!OSRRefD21_5x_9</vt:lpstr>
      <vt:lpstr>'Div 3'!OSRRefD21_5x_9</vt:lpstr>
      <vt:lpstr>'Div 4'!OSRRefD21_5x_9</vt:lpstr>
      <vt:lpstr>'Div 5'!OSRRefD21_5x_9</vt:lpstr>
      <vt:lpstr>'Div 6'!OSRRefD21_5x_9</vt:lpstr>
      <vt:lpstr>Summary!OSRRefD21_5x_9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'306'!OSRRefD21_6_0x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'413'!OSRRefD21_6_1x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'306'!OSRRefD21_6x_0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'306'!OSRRefD21_6x_1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'306'!OSRRefD21_6x_2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'306'!OSRRefD21_6x_3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'306'!OSRRefD21_6x_4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'306'!OSRRefD21_6x_5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'206'!OSRRefD21_6x_6</vt:lpstr>
      <vt:lpstr>'300'!OSRRefD21_6x_6</vt:lpstr>
      <vt:lpstr>'300 &amp; 317'!OSRRefD21_6x_6</vt:lpstr>
      <vt:lpstr>'301'!OSRRefD21_6x_6</vt:lpstr>
      <vt:lpstr>'306'!OSRRefD21_6x_6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'412'!OSRRefD21_6x_6</vt:lpstr>
      <vt:lpstr>'413'!OSRRefD21_6x_6</vt:lpstr>
      <vt:lpstr>'414'!OSRRefD21_6x_6</vt:lpstr>
      <vt:lpstr>'415'!OSRRefD21_6x_6</vt:lpstr>
      <vt:lpstr>'418'!OSRRefD21_6x_6</vt:lpstr>
      <vt:lpstr>'423'!OSRRefD21_6x_6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'206'!OSRRefD21_6x_7</vt:lpstr>
      <vt:lpstr>'300'!OSRRefD21_6x_7</vt:lpstr>
      <vt:lpstr>'300 &amp; 317'!OSRRefD21_6x_7</vt:lpstr>
      <vt:lpstr>'301'!OSRRefD21_6x_7</vt:lpstr>
      <vt:lpstr>'306'!OSRRefD21_6x_7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'313'!OSRRefD21_6x_7</vt:lpstr>
      <vt:lpstr>'315'!OSRRefD21_6x_7</vt:lpstr>
      <vt:lpstr>'316'!OSRRefD21_6x_7</vt:lpstr>
      <vt:lpstr>'317'!OSRRefD21_6x_7</vt:lpstr>
      <vt:lpstr>'321'!OSRRefD21_6x_7</vt:lpstr>
      <vt:lpstr>'322'!OSRRefD21_6x_7</vt:lpstr>
      <vt:lpstr>'325'!OSRRefD21_6x_7</vt:lpstr>
      <vt:lpstr>'326'!OSRRefD21_6x_7</vt:lpstr>
      <vt:lpstr>'330'!OSRRefD21_6x_7</vt:lpstr>
      <vt:lpstr>'331'!OSRRefD21_6x_7</vt:lpstr>
      <vt:lpstr>'332'!OSRRefD21_6x_7</vt:lpstr>
      <vt:lpstr>'405'!OSRRefD21_6x_7</vt:lpstr>
      <vt:lpstr>'411'!OSRRefD21_6x_7</vt:lpstr>
      <vt:lpstr>'412'!OSRRefD21_6x_7</vt:lpstr>
      <vt:lpstr>'413'!OSRRefD21_6x_7</vt:lpstr>
      <vt:lpstr>'414'!OSRRefD21_6x_7</vt:lpstr>
      <vt:lpstr>'415'!OSRRefD21_6x_7</vt:lpstr>
      <vt:lpstr>'418'!OSRRefD21_6x_7</vt:lpstr>
      <vt:lpstr>'423'!OSRRefD21_6x_7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'206'!OSRRefD21_6x_8</vt:lpstr>
      <vt:lpstr>'300'!OSRRefD21_6x_8</vt:lpstr>
      <vt:lpstr>'300 &amp; 317'!OSRRefD21_6x_8</vt:lpstr>
      <vt:lpstr>'301'!OSRRefD21_6x_8</vt:lpstr>
      <vt:lpstr>'306'!OSRRefD21_6x_8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'313'!OSRRefD21_6x_8</vt:lpstr>
      <vt:lpstr>'315'!OSRRefD21_6x_8</vt:lpstr>
      <vt:lpstr>'316'!OSRRefD21_6x_8</vt:lpstr>
      <vt:lpstr>'317'!OSRRefD21_6x_8</vt:lpstr>
      <vt:lpstr>'321'!OSRRefD21_6x_8</vt:lpstr>
      <vt:lpstr>'322'!OSRRefD21_6x_8</vt:lpstr>
      <vt:lpstr>'325'!OSRRefD21_6x_8</vt:lpstr>
      <vt:lpstr>'326'!OSRRefD21_6x_8</vt:lpstr>
      <vt:lpstr>'330'!OSRRefD21_6x_8</vt:lpstr>
      <vt:lpstr>'331'!OSRRefD21_6x_8</vt:lpstr>
      <vt:lpstr>'332'!OSRRefD21_6x_8</vt:lpstr>
      <vt:lpstr>'405'!OSRRefD21_6x_8</vt:lpstr>
      <vt:lpstr>'411'!OSRRefD21_6x_8</vt:lpstr>
      <vt:lpstr>'412'!OSRRefD21_6x_8</vt:lpstr>
      <vt:lpstr>'413'!OSRRefD21_6x_8</vt:lpstr>
      <vt:lpstr>'414'!OSRRefD21_6x_8</vt:lpstr>
      <vt:lpstr>'415'!OSRRefD21_6x_8</vt:lpstr>
      <vt:lpstr>'418'!OSRRefD21_6x_8</vt:lpstr>
      <vt:lpstr>'423'!OSRRefD21_6x_8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'201'!OSRRefD21_6x_9</vt:lpstr>
      <vt:lpstr>'202'!OSRRefD21_6x_9</vt:lpstr>
      <vt:lpstr>'203'!OSRRefD21_6x_9</vt:lpstr>
      <vt:lpstr>'204'!OSRRefD21_6x_9</vt:lpstr>
      <vt:lpstr>'205'!OSRRefD21_6x_9</vt:lpstr>
      <vt:lpstr>'206'!OSRRefD21_6x_9</vt:lpstr>
      <vt:lpstr>'300'!OSRRefD21_6x_9</vt:lpstr>
      <vt:lpstr>'300 &amp; 317'!OSRRefD21_6x_9</vt:lpstr>
      <vt:lpstr>'301'!OSRRefD21_6x_9</vt:lpstr>
      <vt:lpstr>'306'!OSRRefD21_6x_9</vt:lpstr>
      <vt:lpstr>'307'!OSRRefD21_6x_9</vt:lpstr>
      <vt:lpstr>'308'!OSRRefD21_6x_9</vt:lpstr>
      <vt:lpstr>'309'!OSRRefD21_6x_9</vt:lpstr>
      <vt:lpstr>'310'!OSRRefD21_6x_9</vt:lpstr>
      <vt:lpstr>'310 &amp; 491'!OSRRefD21_6x_9</vt:lpstr>
      <vt:lpstr>'311'!OSRRefD21_6x_9</vt:lpstr>
      <vt:lpstr>'313'!OSRRefD21_6x_9</vt:lpstr>
      <vt:lpstr>'315'!OSRRefD21_6x_9</vt:lpstr>
      <vt:lpstr>'316'!OSRRefD21_6x_9</vt:lpstr>
      <vt:lpstr>'317'!OSRRefD21_6x_9</vt:lpstr>
      <vt:lpstr>'321'!OSRRefD21_6x_9</vt:lpstr>
      <vt:lpstr>'322'!OSRRefD21_6x_9</vt:lpstr>
      <vt:lpstr>'325'!OSRRefD21_6x_9</vt:lpstr>
      <vt:lpstr>'326'!OSRRefD21_6x_9</vt:lpstr>
      <vt:lpstr>'330'!OSRRefD21_6x_9</vt:lpstr>
      <vt:lpstr>'331'!OSRRefD21_6x_9</vt:lpstr>
      <vt:lpstr>'332'!OSRRefD21_6x_9</vt:lpstr>
      <vt:lpstr>'405'!OSRRefD21_6x_9</vt:lpstr>
      <vt:lpstr>'411'!OSRRefD21_6x_9</vt:lpstr>
      <vt:lpstr>'412'!OSRRefD21_6x_9</vt:lpstr>
      <vt:lpstr>'413'!OSRRefD21_6x_9</vt:lpstr>
      <vt:lpstr>'414'!OSRRefD21_6x_9</vt:lpstr>
      <vt:lpstr>'415'!OSRRefD21_6x_9</vt:lpstr>
      <vt:lpstr>'418'!OSRRefD21_6x_9</vt:lpstr>
      <vt:lpstr>'423'!OSRRefD21_6x_9</vt:lpstr>
      <vt:lpstr>'430'!OSRRefD21_6x_9</vt:lpstr>
      <vt:lpstr>'433'!OSRRefD21_6x_9</vt:lpstr>
      <vt:lpstr>'444'!OSRRefD21_6x_9</vt:lpstr>
      <vt:lpstr>'450'!OSRRefD21_6x_9</vt:lpstr>
      <vt:lpstr>'491'!OSRRefD21_6x_9</vt:lpstr>
      <vt:lpstr>'492'!OSRRefD21_6x_9</vt:lpstr>
      <vt:lpstr>'501'!OSRRefD21_6x_9</vt:lpstr>
      <vt:lpstr>'Div 2'!OSRRefD21_6x_9</vt:lpstr>
      <vt:lpstr>'Div 3'!OSRRefD21_6x_9</vt:lpstr>
      <vt:lpstr>'Div 4'!OSRRefD21_6x_9</vt:lpstr>
      <vt:lpstr>'Div 5'!OSRRefD21_6x_9</vt:lpstr>
      <vt:lpstr>'Div 6'!OSRRefD21_6x_9</vt:lpstr>
      <vt:lpstr>Summary!OSRRefD21_6x_9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'306'!OSRRefD21_7_0x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'413'!OSRRefD21_7_1x</vt:lpstr>
      <vt:lpstr>'202'!OSRRefD21_7_2x</vt:lpstr>
      <vt:lpstr>'316'!OSRRefD21_7_2x</vt:lpstr>
      <vt:lpstr>'332'!OSRRefD21_7_2x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'306'!OSRRefD21_7x_0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'306'!OSRRefD21_7x_1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'306'!OSRRefD21_7x_2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'306'!OSRRefD21_7x_3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'306'!OSRRefD21_7x_4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'306'!OSRRefD21_7x_5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'306'!OSRRefD21_7x_6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'412'!OSRRefD21_7x_6</vt:lpstr>
      <vt:lpstr>'413'!OSRRefD21_7x_6</vt:lpstr>
      <vt:lpstr>'414'!OSRRefD21_7x_6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'306'!OSRRefD21_7x_7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'322'!OSRRefD21_7x_7</vt:lpstr>
      <vt:lpstr>'325'!OSRRefD21_7x_7</vt:lpstr>
      <vt:lpstr>'326'!OSRRefD21_7x_7</vt:lpstr>
      <vt:lpstr>'330'!OSRRefD21_7x_7</vt:lpstr>
      <vt:lpstr>'331'!OSRRefD21_7x_7</vt:lpstr>
      <vt:lpstr>'332'!OSRRefD21_7x_7</vt:lpstr>
      <vt:lpstr>'405'!OSRRefD21_7x_7</vt:lpstr>
      <vt:lpstr>'411'!OSRRefD21_7x_7</vt:lpstr>
      <vt:lpstr>'412'!OSRRefD21_7x_7</vt:lpstr>
      <vt:lpstr>'413'!OSRRefD21_7x_7</vt:lpstr>
      <vt:lpstr>'414'!OSRRefD21_7x_7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'306'!OSRRefD21_7x_8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'322'!OSRRefD21_7x_8</vt:lpstr>
      <vt:lpstr>'325'!OSRRefD21_7x_8</vt:lpstr>
      <vt:lpstr>'326'!OSRRefD21_7x_8</vt:lpstr>
      <vt:lpstr>'330'!OSRRefD21_7x_8</vt:lpstr>
      <vt:lpstr>'331'!OSRRefD21_7x_8</vt:lpstr>
      <vt:lpstr>'332'!OSRRefD21_7x_8</vt:lpstr>
      <vt:lpstr>'405'!OSRRefD21_7x_8</vt:lpstr>
      <vt:lpstr>'411'!OSRRefD21_7x_8</vt:lpstr>
      <vt:lpstr>'412'!OSRRefD21_7x_8</vt:lpstr>
      <vt:lpstr>'413'!OSRRefD21_7x_8</vt:lpstr>
      <vt:lpstr>'414'!OSRRefD21_7x_8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'201'!OSRRefD21_7x_9</vt:lpstr>
      <vt:lpstr>'202'!OSRRefD21_7x_9</vt:lpstr>
      <vt:lpstr>'203'!OSRRefD21_7x_9</vt:lpstr>
      <vt:lpstr>'204'!OSRRefD21_7x_9</vt:lpstr>
      <vt:lpstr>'205'!OSRRefD21_7x_9</vt:lpstr>
      <vt:lpstr>'300'!OSRRefD21_7x_9</vt:lpstr>
      <vt:lpstr>'300 &amp; 317'!OSRRefD21_7x_9</vt:lpstr>
      <vt:lpstr>'301'!OSRRefD21_7x_9</vt:lpstr>
      <vt:lpstr>'306'!OSRRefD21_7x_9</vt:lpstr>
      <vt:lpstr>'307'!OSRRefD21_7x_9</vt:lpstr>
      <vt:lpstr>'308'!OSRRefD21_7x_9</vt:lpstr>
      <vt:lpstr>'309'!OSRRefD21_7x_9</vt:lpstr>
      <vt:lpstr>'310'!OSRRefD21_7x_9</vt:lpstr>
      <vt:lpstr>'310 &amp; 491'!OSRRefD21_7x_9</vt:lpstr>
      <vt:lpstr>'311'!OSRRefD21_7x_9</vt:lpstr>
      <vt:lpstr>'315'!OSRRefD21_7x_9</vt:lpstr>
      <vt:lpstr>'316'!OSRRefD21_7x_9</vt:lpstr>
      <vt:lpstr>'317'!OSRRefD21_7x_9</vt:lpstr>
      <vt:lpstr>'321'!OSRRefD21_7x_9</vt:lpstr>
      <vt:lpstr>'322'!OSRRefD21_7x_9</vt:lpstr>
      <vt:lpstr>'325'!OSRRefD21_7x_9</vt:lpstr>
      <vt:lpstr>'326'!OSRRefD21_7x_9</vt:lpstr>
      <vt:lpstr>'330'!OSRRefD21_7x_9</vt:lpstr>
      <vt:lpstr>'331'!OSRRefD21_7x_9</vt:lpstr>
      <vt:lpstr>'332'!OSRRefD21_7x_9</vt:lpstr>
      <vt:lpstr>'405'!OSRRefD21_7x_9</vt:lpstr>
      <vt:lpstr>'411'!OSRRefD21_7x_9</vt:lpstr>
      <vt:lpstr>'412'!OSRRefD21_7x_9</vt:lpstr>
      <vt:lpstr>'413'!OSRRefD21_7x_9</vt:lpstr>
      <vt:lpstr>'414'!OSRRefD21_7x_9</vt:lpstr>
      <vt:lpstr>'415'!OSRRefD21_7x_9</vt:lpstr>
      <vt:lpstr>'418'!OSRRefD21_7x_9</vt:lpstr>
      <vt:lpstr>'430'!OSRRefD21_7x_9</vt:lpstr>
      <vt:lpstr>'433'!OSRRefD21_7x_9</vt:lpstr>
      <vt:lpstr>'444'!OSRRefD21_7x_9</vt:lpstr>
      <vt:lpstr>'450'!OSRRefD21_7x_9</vt:lpstr>
      <vt:lpstr>'491'!OSRRefD21_7x_9</vt:lpstr>
      <vt:lpstr>'492'!OSRRefD21_7x_9</vt:lpstr>
      <vt:lpstr>'501'!OSRRefD21_7x_9</vt:lpstr>
      <vt:lpstr>'Div 2'!OSRRefD21_7x_9</vt:lpstr>
      <vt:lpstr>'Div 3'!OSRRefD21_7x_9</vt:lpstr>
      <vt:lpstr>'Div 4'!OSRRefD21_7x_9</vt:lpstr>
      <vt:lpstr>'Div 5'!OSRRefD21_7x_9</vt:lpstr>
      <vt:lpstr>'Div 6'!OSRRefD21_7x_9</vt:lpstr>
      <vt:lpstr>Summary!OSRRefD21_7x_9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'306'!OSRRefD21_8_0x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'306'!OSRRefD21_8x_0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'306'!OSRRefD21_8x_1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'306'!OSRRefD21_8x_2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'306'!OSRRefD21_8x_3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'306'!OSRRefD21_8x_4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'306'!OSRRefD21_8x_5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'306'!OSRRefD21_8x_6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'322'!OSRRefD21_8x_6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'412'!OSRRefD21_8x_6</vt:lpstr>
      <vt:lpstr>'413'!OSRRefD21_8x_6</vt:lpstr>
      <vt:lpstr>'414'!OSRRefD21_8x_6</vt:lpstr>
      <vt:lpstr>'415'!OSRRefD21_8x_6</vt:lpstr>
      <vt:lpstr>'418'!OSRRefD21_8x_6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'306'!OSRRefD21_8x_7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'322'!OSRRefD21_8x_7</vt:lpstr>
      <vt:lpstr>'325'!OSRRefD21_8x_7</vt:lpstr>
      <vt:lpstr>'326'!OSRRefD21_8x_7</vt:lpstr>
      <vt:lpstr>'330'!OSRRefD21_8x_7</vt:lpstr>
      <vt:lpstr>'331'!OSRRefD21_8x_7</vt:lpstr>
      <vt:lpstr>'332'!OSRRefD21_8x_7</vt:lpstr>
      <vt:lpstr>'405'!OSRRefD21_8x_7</vt:lpstr>
      <vt:lpstr>'411'!OSRRefD21_8x_7</vt:lpstr>
      <vt:lpstr>'412'!OSRRefD21_8x_7</vt:lpstr>
      <vt:lpstr>'413'!OSRRefD21_8x_7</vt:lpstr>
      <vt:lpstr>'414'!OSRRefD21_8x_7</vt:lpstr>
      <vt:lpstr>'415'!OSRRefD21_8x_7</vt:lpstr>
      <vt:lpstr>'418'!OSRRefD21_8x_7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'306'!OSRRefD21_8x_8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'322'!OSRRefD21_8x_8</vt:lpstr>
      <vt:lpstr>'325'!OSRRefD21_8x_8</vt:lpstr>
      <vt:lpstr>'326'!OSRRefD21_8x_8</vt:lpstr>
      <vt:lpstr>'330'!OSRRefD21_8x_8</vt:lpstr>
      <vt:lpstr>'331'!OSRRefD21_8x_8</vt:lpstr>
      <vt:lpstr>'332'!OSRRefD21_8x_8</vt:lpstr>
      <vt:lpstr>'405'!OSRRefD21_8x_8</vt:lpstr>
      <vt:lpstr>'411'!OSRRefD21_8x_8</vt:lpstr>
      <vt:lpstr>'412'!OSRRefD21_8x_8</vt:lpstr>
      <vt:lpstr>'413'!OSRRefD21_8x_8</vt:lpstr>
      <vt:lpstr>'414'!OSRRefD21_8x_8</vt:lpstr>
      <vt:lpstr>'415'!OSRRefD21_8x_8</vt:lpstr>
      <vt:lpstr>'418'!OSRRefD21_8x_8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'201'!OSRRefD21_8x_9</vt:lpstr>
      <vt:lpstr>'202'!OSRRefD21_8x_9</vt:lpstr>
      <vt:lpstr>'203'!OSRRefD21_8x_9</vt:lpstr>
      <vt:lpstr>'204'!OSRRefD21_8x_9</vt:lpstr>
      <vt:lpstr>'300'!OSRRefD21_8x_9</vt:lpstr>
      <vt:lpstr>'300 &amp; 317'!OSRRefD21_8x_9</vt:lpstr>
      <vt:lpstr>'301'!OSRRefD21_8x_9</vt:lpstr>
      <vt:lpstr>'306'!OSRRefD21_8x_9</vt:lpstr>
      <vt:lpstr>'307'!OSRRefD21_8x_9</vt:lpstr>
      <vt:lpstr>'308'!OSRRefD21_8x_9</vt:lpstr>
      <vt:lpstr>'309'!OSRRefD21_8x_9</vt:lpstr>
      <vt:lpstr>'310'!OSRRefD21_8x_9</vt:lpstr>
      <vt:lpstr>'310 &amp; 491'!OSRRefD21_8x_9</vt:lpstr>
      <vt:lpstr>'311'!OSRRefD21_8x_9</vt:lpstr>
      <vt:lpstr>'315'!OSRRefD21_8x_9</vt:lpstr>
      <vt:lpstr>'316'!OSRRefD21_8x_9</vt:lpstr>
      <vt:lpstr>'317'!OSRRefD21_8x_9</vt:lpstr>
      <vt:lpstr>'321'!OSRRefD21_8x_9</vt:lpstr>
      <vt:lpstr>'322'!OSRRefD21_8x_9</vt:lpstr>
      <vt:lpstr>'325'!OSRRefD21_8x_9</vt:lpstr>
      <vt:lpstr>'326'!OSRRefD21_8x_9</vt:lpstr>
      <vt:lpstr>'330'!OSRRefD21_8x_9</vt:lpstr>
      <vt:lpstr>'331'!OSRRefD21_8x_9</vt:lpstr>
      <vt:lpstr>'332'!OSRRefD21_8x_9</vt:lpstr>
      <vt:lpstr>'405'!OSRRefD21_8x_9</vt:lpstr>
      <vt:lpstr>'411'!OSRRefD21_8x_9</vt:lpstr>
      <vt:lpstr>'412'!OSRRefD21_8x_9</vt:lpstr>
      <vt:lpstr>'413'!OSRRefD21_8x_9</vt:lpstr>
      <vt:lpstr>'414'!OSRRefD21_8x_9</vt:lpstr>
      <vt:lpstr>'415'!OSRRefD21_8x_9</vt:lpstr>
      <vt:lpstr>'418'!OSRRefD21_8x_9</vt:lpstr>
      <vt:lpstr>'433'!OSRRefD21_8x_9</vt:lpstr>
      <vt:lpstr>'444'!OSRRefD21_8x_9</vt:lpstr>
      <vt:lpstr>'450'!OSRRefD21_8x_9</vt:lpstr>
      <vt:lpstr>'491'!OSRRefD21_8x_9</vt:lpstr>
      <vt:lpstr>'492'!OSRRefD21_8x_9</vt:lpstr>
      <vt:lpstr>'501'!OSRRefD21_8x_9</vt:lpstr>
      <vt:lpstr>'Div 2'!OSRRefD21_8x_9</vt:lpstr>
      <vt:lpstr>'Div 3'!OSRRefD21_8x_9</vt:lpstr>
      <vt:lpstr>'Div 4'!OSRRefD21_8x_9</vt:lpstr>
      <vt:lpstr>'Div 5'!OSRRefD21_8x_9</vt:lpstr>
      <vt:lpstr>'Div 6'!OSRRefD21_8x_9</vt:lpstr>
      <vt:lpstr>Summary!OSRRefD21_8x_9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'315'!OSRRefD21_9_1x</vt:lpstr>
      <vt:lpstr>'316'!OSRRefD21_9_1x</vt:lpstr>
      <vt:lpstr>'317'!OSRRefD21_9_1x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'Div 6'!OSRRefD21_9_1x</vt:lpstr>
      <vt:lpstr>'308'!OSRRefD21_9_2x</vt:lpstr>
      <vt:lpstr>'311'!OSRRefD21_9_2x</vt:lpstr>
      <vt:lpstr>'316'!OSRRefD21_9_2x</vt:lpstr>
      <vt:lpstr>'332'!OSRRefD21_9_2x</vt:lpstr>
      <vt:lpstr>'411'!OSRRefD21_9_2x</vt:lpstr>
      <vt:lpstr>'501'!OSRRefD21_9_2x</vt:lpstr>
      <vt:lpstr>'Div 5'!OSRRefD21_9_2x</vt:lpstr>
      <vt:lpstr>'316'!OSRRefD21_9_3x</vt:lpstr>
      <vt:lpstr>'332'!OSRRefD21_9_3x</vt:lpstr>
      <vt:lpstr>'411'!OSRRefD21_9_3x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'204'!OSRRefD21_9x_6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'322'!OSRRefD21_9x_6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'412'!OSRRefD21_9x_6</vt:lpstr>
      <vt:lpstr>'413'!OSRRefD21_9x_6</vt:lpstr>
      <vt:lpstr>'414'!OSRRefD21_9x_6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'204'!OSRRefD21_9x_7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'322'!OSRRefD21_9x_7</vt:lpstr>
      <vt:lpstr>'325'!OSRRefD21_9x_7</vt:lpstr>
      <vt:lpstr>'326'!OSRRefD21_9x_7</vt:lpstr>
      <vt:lpstr>'330'!OSRRefD21_9x_7</vt:lpstr>
      <vt:lpstr>'331'!OSRRefD21_9x_7</vt:lpstr>
      <vt:lpstr>'332'!OSRRefD21_9x_7</vt:lpstr>
      <vt:lpstr>'405'!OSRRefD21_9x_7</vt:lpstr>
      <vt:lpstr>'411'!OSRRefD21_9x_7</vt:lpstr>
      <vt:lpstr>'412'!OSRRefD21_9x_7</vt:lpstr>
      <vt:lpstr>'413'!OSRRefD21_9x_7</vt:lpstr>
      <vt:lpstr>'414'!OSRRefD21_9x_7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'204'!OSRRefD21_9x_8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'322'!OSRRefD21_9x_8</vt:lpstr>
      <vt:lpstr>'325'!OSRRefD21_9x_8</vt:lpstr>
      <vt:lpstr>'326'!OSRRefD21_9x_8</vt:lpstr>
      <vt:lpstr>'330'!OSRRefD21_9x_8</vt:lpstr>
      <vt:lpstr>'331'!OSRRefD21_9x_8</vt:lpstr>
      <vt:lpstr>'332'!OSRRefD21_9x_8</vt:lpstr>
      <vt:lpstr>'405'!OSRRefD21_9x_8</vt:lpstr>
      <vt:lpstr>'411'!OSRRefD21_9x_8</vt:lpstr>
      <vt:lpstr>'412'!OSRRefD21_9x_8</vt:lpstr>
      <vt:lpstr>'413'!OSRRefD21_9x_8</vt:lpstr>
      <vt:lpstr>'414'!OSRRefD21_9x_8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'201'!OSRRefD21_9x_9</vt:lpstr>
      <vt:lpstr>'202'!OSRRefD21_9x_9</vt:lpstr>
      <vt:lpstr>'203'!OSRRefD21_9x_9</vt:lpstr>
      <vt:lpstr>'204'!OSRRefD21_9x_9</vt:lpstr>
      <vt:lpstr>'300'!OSRRefD21_9x_9</vt:lpstr>
      <vt:lpstr>'300 &amp; 317'!OSRRefD21_9x_9</vt:lpstr>
      <vt:lpstr>'301'!OSRRefD21_9x_9</vt:lpstr>
      <vt:lpstr>'307'!OSRRefD21_9x_9</vt:lpstr>
      <vt:lpstr>'308'!OSRRefD21_9x_9</vt:lpstr>
      <vt:lpstr>'309'!OSRRefD21_9x_9</vt:lpstr>
      <vt:lpstr>'310'!OSRRefD21_9x_9</vt:lpstr>
      <vt:lpstr>'310 &amp; 491'!OSRRefD21_9x_9</vt:lpstr>
      <vt:lpstr>'311'!OSRRefD21_9x_9</vt:lpstr>
      <vt:lpstr>'315'!OSRRefD21_9x_9</vt:lpstr>
      <vt:lpstr>'316'!OSRRefD21_9x_9</vt:lpstr>
      <vt:lpstr>'317'!OSRRefD21_9x_9</vt:lpstr>
      <vt:lpstr>'321'!OSRRefD21_9x_9</vt:lpstr>
      <vt:lpstr>'322'!OSRRefD21_9x_9</vt:lpstr>
      <vt:lpstr>'325'!OSRRefD21_9x_9</vt:lpstr>
      <vt:lpstr>'326'!OSRRefD21_9x_9</vt:lpstr>
      <vt:lpstr>'330'!OSRRefD21_9x_9</vt:lpstr>
      <vt:lpstr>'331'!OSRRefD21_9x_9</vt:lpstr>
      <vt:lpstr>'332'!OSRRefD21_9x_9</vt:lpstr>
      <vt:lpstr>'405'!OSRRefD21_9x_9</vt:lpstr>
      <vt:lpstr>'411'!OSRRefD21_9x_9</vt:lpstr>
      <vt:lpstr>'412'!OSRRefD21_9x_9</vt:lpstr>
      <vt:lpstr>'413'!OSRRefD21_9x_9</vt:lpstr>
      <vt:lpstr>'414'!OSRRefD21_9x_9</vt:lpstr>
      <vt:lpstr>'415'!OSRRefD21_9x_9</vt:lpstr>
      <vt:lpstr>'418'!OSRRefD21_9x_9</vt:lpstr>
      <vt:lpstr>'433'!OSRRefD21_9x_9</vt:lpstr>
      <vt:lpstr>'444'!OSRRefD21_9x_9</vt:lpstr>
      <vt:lpstr>'450'!OSRRefD21_9x_9</vt:lpstr>
      <vt:lpstr>'491'!OSRRefD21_9x_9</vt:lpstr>
      <vt:lpstr>'492'!OSRRefD21_9x_9</vt:lpstr>
      <vt:lpstr>'501'!OSRRefD21_9x_9</vt:lpstr>
      <vt:lpstr>'Div 2'!OSRRefD21_9x_9</vt:lpstr>
      <vt:lpstr>'Div 3'!OSRRefD21_9x_9</vt:lpstr>
      <vt:lpstr>'Div 4'!OSRRefD21_9x_9</vt:lpstr>
      <vt:lpstr>'Div 5'!OSRRefD21_9x_9</vt:lpstr>
      <vt:lpstr>'Div 6'!OSRRefD21_9x_9</vt:lpstr>
      <vt:lpstr>Summary!OSRRefD21_9x_9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'306'!OSRRefD23_0x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'306'!OSRRefD28_0x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'313'!OSRRefE11_0x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'310 &amp; 491'!OSRRefE11_10x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'310 &amp; 491'!OSRRefE11_11x</vt:lpstr>
      <vt:lpstr>'311'!OSRRefE11_11x</vt:lpstr>
      <vt:lpstr>'315'!OSRRefE11_11x</vt:lpstr>
      <vt:lpstr>'316'!OSRRefE11_11x</vt:lpstr>
      <vt:lpstr>'317'!OSRRefE11_11x</vt:lpstr>
      <vt:lpstr>'326'!OSRRefE11_11x</vt:lpstr>
      <vt:lpstr>'330'!OSRRefE11_11x</vt:lpstr>
      <vt:lpstr>'331'!OSRRefE11_11x</vt:lpstr>
      <vt:lpstr>'332'!OSRRefE11_11x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'310 &amp; 491'!OSRRefE11_12x</vt:lpstr>
      <vt:lpstr>'311'!OSRRefE11_12x</vt:lpstr>
      <vt:lpstr>'315'!OSRRefE11_12x</vt:lpstr>
      <vt:lpstr>'317'!OSRRefE11_12x</vt:lpstr>
      <vt:lpstr>'326'!OSRRefE11_12x</vt:lpstr>
      <vt:lpstr>'330'!OSRRefE11_12x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'330'!OSRRefE11_13x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'317'!OSRRefE11_18x</vt:lpstr>
      <vt:lpstr>'326'!OSRRefE11_18x</vt:lpstr>
      <vt:lpstr>'331'!OSRRefE11_18x</vt:lpstr>
      <vt:lpstr>'Div 3'!OSRRefE11_18x</vt:lpstr>
      <vt:lpstr>'Div 6'!OSRRefE11_18x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'313'!OSRRefE11_1x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'420'!OSRRefE11_1x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'311'!OSRRefE11_20x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'308'!OSRRefE11_21x</vt:lpstr>
      <vt:lpstr>'311'!OSRRefE11_21x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'308'!OSRRefE11_22x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'313'!OSRRefE11_2x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'313'!OSRRefE11_3x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'300'!OSRRefE11_62x</vt:lpstr>
      <vt:lpstr>'300 &amp; 317'!OSRRefE11_62x</vt:lpstr>
      <vt:lpstr>'Div 3'!OSRRefE11_62x</vt:lpstr>
      <vt:lpstr>Summary!OSRRefE11_62x</vt:lpstr>
      <vt:lpstr>'300'!OSRRefE11_63x</vt:lpstr>
      <vt:lpstr>'300 &amp; 317'!OSRRefE11_63x</vt:lpstr>
      <vt:lpstr>'Div 3'!OSRRefE11_63x</vt:lpstr>
      <vt:lpstr>Summary!OSRRefE11_63x</vt:lpstr>
      <vt:lpstr>'300'!OSRRefE11_64x</vt:lpstr>
      <vt:lpstr>'300 &amp; 317'!OSRRefE11_64x</vt:lpstr>
      <vt:lpstr>'Div 3'!OSRRefE11_64x</vt:lpstr>
      <vt:lpstr>Summary!OSRRefE11_64x</vt:lpstr>
      <vt:lpstr>'300 &amp; 317'!OSRRefE11_65x</vt:lpstr>
      <vt:lpstr>'Div 3'!OSRRefE11_65x</vt:lpstr>
      <vt:lpstr>Summary!OSRRefE11_65x</vt:lpstr>
      <vt:lpstr>'300 &amp; 317'!OSRRefE11_66x</vt:lpstr>
      <vt:lpstr>'Div 3'!OSRRefE11_66x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'491'!OSRRefE11_6x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'300 &amp; 317'!OSRRefE11_76x</vt:lpstr>
      <vt:lpstr>Summary!OSRRefE11_76x</vt:lpstr>
      <vt:lpstr>'300 &amp; 317'!OSRRefE11_77x</vt:lpstr>
      <vt:lpstr>Summary!OSRRefE11_77x</vt:lpstr>
      <vt:lpstr>'300 &amp; 317'!OSRRefE11_78x</vt:lpstr>
      <vt:lpstr>Summary!OSRRefE11_78x</vt:lpstr>
      <vt:lpstr>'300 &amp; 317'!OSRRefE11_79x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Summary!OSRRefE11_82x</vt:lpstr>
      <vt:lpstr>Summary!OSRRefE11_83x</vt:lpstr>
      <vt:lpstr>Summary!OSRRefE11_84x</vt:lpstr>
      <vt:lpstr>Summary!OSRRefE11_85x</vt:lpstr>
      <vt:lpstr>Summary!OSRRefE11_86x</vt:lpstr>
      <vt:lpstr>Summary!OSRRefE11_87x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4'!OSRRefE11_8x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'310 &amp; 491'!OSRRefE11_9x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'313'!OSRRefE11x_0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'313'!OSRRefE11x_1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'317'!OSRRefE14_12x</vt:lpstr>
      <vt:lpstr>'331'!OSRRefE14_12x</vt:lpstr>
      <vt:lpstr>'Div 3'!OSRRefE14_12x</vt:lpstr>
      <vt:lpstr>'Div 6'!OSRRefE14_12x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'317'!OSRRefE14_13x</vt:lpstr>
      <vt:lpstr>'331'!OSRRefE14_13x</vt:lpstr>
      <vt:lpstr>'Div 3'!OSRRefE14_13x</vt:lpstr>
      <vt:lpstr>'Div 6'!OSRRefE14_13x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'308'!OSRRefE14_15x</vt:lpstr>
      <vt:lpstr>'311'!OSRRefE14_15x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'321'!OSRRefE14_1x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'405'!OSRRefE14_1x</vt:lpstr>
      <vt:lpstr>'414'!OSRRefE14_1x</vt:lpstr>
      <vt:lpstr>'415'!OSRRefE14_1x</vt:lpstr>
      <vt:lpstr>'418'!OSRRefE14_1x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'315'!OSRRefE14_22x</vt:lpstr>
      <vt:lpstr>'331'!OSRRefE14_22x</vt:lpstr>
      <vt:lpstr>'Div 3'!OSRRefE14_22x</vt:lpstr>
      <vt:lpstr>Summary!OSRRefE14_22x</vt:lpstr>
      <vt:lpstr>'300'!OSRRefE14_23x</vt:lpstr>
      <vt:lpstr>'300 &amp; 317'!OSRRefE14_23x</vt:lpstr>
      <vt:lpstr>'331'!OSRRefE14_23x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'300'!OSRRefE14_34x</vt:lpstr>
      <vt:lpstr>'300 &amp; 317'!OSRRefE14_34x</vt:lpstr>
      <vt:lpstr>'Div 3'!OSRRefE14_34x</vt:lpstr>
      <vt:lpstr>Summary!OSRRefE14_34x</vt:lpstr>
      <vt:lpstr>'300'!OSRRefE14_35x</vt:lpstr>
      <vt:lpstr>'300 &amp; 317'!OSRRefE14_35x</vt:lpstr>
      <vt:lpstr>'Div 3'!OSRRefE14_35x</vt:lpstr>
      <vt:lpstr>Summary!OSRRefE14_35x</vt:lpstr>
      <vt:lpstr>'300'!OSRRefE14_36x</vt:lpstr>
      <vt:lpstr>'300 &amp; 317'!OSRRefE14_36x</vt:lpstr>
      <vt:lpstr>'Div 3'!OSRRefE14_36x</vt:lpstr>
      <vt:lpstr>Summary!OSRRefE14_36x</vt:lpstr>
      <vt:lpstr>'300'!OSRRefE14_37x</vt:lpstr>
      <vt:lpstr>'300 &amp; 317'!OSRRefE14_37x</vt:lpstr>
      <vt:lpstr>'Div 3'!OSRRefE14_37x</vt:lpstr>
      <vt:lpstr>Summary!OSRRefE14_37x</vt:lpstr>
      <vt:lpstr>'300'!OSRRefE14_38x</vt:lpstr>
      <vt:lpstr>'300 &amp; 317'!OSRRefE14_38x</vt:lpstr>
      <vt:lpstr>'Div 3'!OSRRefE14_38x</vt:lpstr>
      <vt:lpstr>Summary!OSRRefE14_38x</vt:lpstr>
      <vt:lpstr>'300 &amp; 317'!OSRRefE14_39x</vt:lpstr>
      <vt:lpstr>'Div 3'!OSRRefE14_39x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'Div 3'!OSRRefE14_40x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'300 &amp; 317'!OSRRefE14_43x</vt:lpstr>
      <vt:lpstr>Summary!OSRRefE14_43x</vt:lpstr>
      <vt:lpstr>'300 &amp; 317'!OSRRefE14_44x</vt:lpstr>
      <vt:lpstr>Summary!OSRRefE14_44x</vt:lpstr>
      <vt:lpstr>'300 &amp; 317'!OSRRefE14_45x</vt:lpstr>
      <vt:lpstr>Summary!OSRRefE14_45x</vt:lpstr>
      <vt:lpstr>'300 &amp; 317'!OSRRefE14_46x</vt:lpstr>
      <vt:lpstr>Summary!OSRRefE14_46x</vt:lpstr>
      <vt:lpstr>'300 &amp; 317'!OSRRefE14_47x</vt:lpstr>
      <vt:lpstr>Summary!OSRRefE14_47x</vt:lpstr>
      <vt:lpstr>Summary!OSRRefE14_48x</vt:lpstr>
      <vt:lpstr>Summary!OSRRefE14_49x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'326'!OSRRefE14_5x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'326'!OSRRefE14_6x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'306'!OSRRefE20_0x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'Div 2'!OSRRefE20_12x</vt:lpstr>
      <vt:lpstr>'Div 3'!OSRRefE20_12x</vt:lpstr>
      <vt:lpstr>'Div 4'!OSRRefE20_12x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'317'!OSRRefE20_13x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'Div 2'!OSRRefE20_13x</vt:lpstr>
      <vt:lpstr>'Div 3'!OSRRefE20_13x</vt:lpstr>
      <vt:lpstr>'Div 4'!OSRRefE20_13x</vt:lpstr>
      <vt:lpstr>'Div 6'!OSRRefE20_13x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'326'!OSRRefE20_15x</vt:lpstr>
      <vt:lpstr>'331'!OSRRefE20_15x</vt:lpstr>
      <vt:lpstr>'405'!OSRRefE20_15x</vt:lpstr>
      <vt:lpstr>'411'!OSRRefE20_15x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'444'!OSRRefE20_17x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'306'!OSRRefE20_1x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'327'!OSRRefE20_1x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'420'!OSRRefE20_1x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'306'!OSRRefE20_2x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'306'!OSRRefE20_3x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'306'!OSRRefE20_4x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'306'!OSRRefE20_5x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'306'!OSRRefE20_6x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'306'!OSRRefE20_7x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'306'!OSRRefE20_8x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'306'!OSRRefE20x_0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'306'!OSRRefE20x_1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'420'!OSRRefE20x_1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'306'!OSRRefE21_0_0x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'306'!OSRRefE21_0_1x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'306'!OSRRefE21_0_2x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'306'!OSRRefE21_0_3x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'306'!OSRRefE21_0_4x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'306'!OSRRefE21_0_5x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'306'!OSRRefE21_0_6x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'306'!OSRRefE21_0_7x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'306'!OSRRefE21_0_8x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'330'!OSRRefE21_0_8x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'306'!OSRRefE21_0x_0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'306'!OSRRefE21_0x_1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'420'!OSRRefE21_0x_1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'306'!OSRRefE21_1_0x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'327'!OSRRefE21_1_0x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'420'!OSRRefE21_1_0x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'306'!OSRRefE21_1_1x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'306'!OSRRefE21_1_2x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'306'!OSRRefE21_1_3x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'306'!OSRRefE21_1_4x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'306'!OSRRefE21_1_5x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'306'!OSRRefE21_1_6x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'306'!OSRRefE21_1_7x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'306'!OSRRefE21_1_8x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'306'!OSRRefE21_1_9x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'321'!OSRRefE21_10_1x</vt:lpstr>
      <vt:lpstr>'325'!OSRRefE21_10_1x</vt:lpstr>
      <vt:lpstr>'330'!OSRRefE21_10_1x</vt:lpstr>
      <vt:lpstr>'331'!OSRRefE21_10_1x</vt:lpstr>
      <vt:lpstr>'411'!OSRRefE21_10_1x</vt:lpstr>
      <vt:lpstr>'412'!OSRRefE21_10_1x</vt:lpstr>
      <vt:lpstr>'501'!OSRRefE21_10_1x</vt:lpstr>
      <vt:lpstr>'Div 3'!OSRRefE21_10_1x</vt:lpstr>
      <vt:lpstr>'Div 5'!OSRRefE21_10_1x</vt:lpstr>
      <vt:lpstr>Summary!OSRRefE21_10_1x</vt:lpstr>
      <vt:lpstr>'307'!OSRRefE21_10_2x</vt:lpstr>
      <vt:lpstr>'330'!OSRRefE21_10_2x</vt:lpstr>
      <vt:lpstr>'411'!OSRRefE21_10_2x</vt:lpstr>
      <vt:lpstr>'412'!OSRRefE21_10_2x</vt:lpstr>
      <vt:lpstr>'411'!OSRRefE21_10_3x</vt:lpstr>
      <vt:lpstr>'412'!OSRRefE21_10_3x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'204'!OSRRefE21_10x_1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'201'!OSRRefE21_11_1x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'317'!OSRRefE21_11_1x</vt:lpstr>
      <vt:lpstr>'325'!OSRRefE21_11_1x</vt:lpstr>
      <vt:lpstr>'330'!OSRRefE21_11_1x</vt:lpstr>
      <vt:lpstr>'405'!OSRRefE21_11_1x</vt:lpstr>
      <vt:lpstr>'412'!OSRRefE21_11_1x</vt:lpstr>
      <vt:lpstr>'415'!OSRRefE21_11_1x</vt:lpstr>
      <vt:lpstr>'418'!OSRRefE21_11_1x</vt:lpstr>
      <vt:lpstr>'433'!OSRRefE21_11_1x</vt:lpstr>
      <vt:lpstr>'444'!OSRRefE21_11_1x</vt:lpstr>
      <vt:lpstr>'Div 3'!OSRRefE21_11_1x</vt:lpstr>
      <vt:lpstr>'Div 6'!OSRRefE21_11_1x</vt:lpstr>
      <vt:lpstr>Summary!OSRRefE21_11_1x</vt:lpstr>
      <vt:lpstr>'203'!OSRRefE21_11_2x</vt:lpstr>
      <vt:lpstr>'308'!OSRRefE21_11_2x</vt:lpstr>
      <vt:lpstr>'311'!OSRRefE21_11_2x</vt:lpstr>
      <vt:lpstr>'317'!OSRRefE21_11_2x</vt:lpstr>
      <vt:lpstr>'405'!OSRRefE21_11_2x</vt:lpstr>
      <vt:lpstr>'412'!OSRRefE21_11_2x</vt:lpstr>
      <vt:lpstr>'418'!OSRRefE21_11_2x</vt:lpstr>
      <vt:lpstr>'Div 6'!OSRRefE21_11_2x</vt:lpstr>
      <vt:lpstr>'317'!OSRRefE21_11_3x</vt:lpstr>
      <vt:lpstr>'405'!OSRRefE21_11_3x</vt:lpstr>
      <vt:lpstr>'412'!OSRRefE21_11_3x</vt:lpstr>
      <vt:lpstr>'418'!OSRRefE21_11_3x</vt:lpstr>
      <vt:lpstr>'Div 6'!OSRRefE21_11_3x</vt:lpstr>
      <vt:lpstr>'418'!OSRRefE21_11_4x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'Div 2'!OSRRefE21_12_0x</vt:lpstr>
      <vt:lpstr>'Div 3'!OSRRefE21_12_0x</vt:lpstr>
      <vt:lpstr>'Div 4'!OSRRefE21_12_0x</vt:lpstr>
      <vt:lpstr>'Div 6'!OSRRefE21_12_0x</vt:lpstr>
      <vt:lpstr>Summary!OSRRefE21_12_0x</vt:lpstr>
      <vt:lpstr>'308'!OSRRefE21_12_1x</vt:lpstr>
      <vt:lpstr>'310'!OSRRefE21_12_1x</vt:lpstr>
      <vt:lpstr>'311'!OSRRefE21_12_1x</vt:lpstr>
      <vt:lpstr>'315'!OSRRefE21_12_1x</vt:lpstr>
      <vt:lpstr>'325'!OSRRefE21_12_1x</vt:lpstr>
      <vt:lpstr>'326'!OSRRefE21_12_1x</vt:lpstr>
      <vt:lpstr>'411'!OSRRefE21_12_1x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'325'!OSRRefE21_12_2x</vt:lpstr>
      <vt:lpstr>'326'!OSRRefE21_12_2x</vt:lpstr>
      <vt:lpstr>'411'!OSRRefE21_12_2x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'325'!OSRRefE21_12_3x</vt:lpstr>
      <vt:lpstr>'411'!OSRRefE21_12_3x</vt:lpstr>
      <vt:lpstr>'415'!OSRRefE21_12_3x</vt:lpstr>
      <vt:lpstr>'433'!OSRRefE21_12_3x</vt:lpstr>
      <vt:lpstr>'444'!OSRRefE21_12_3x</vt:lpstr>
      <vt:lpstr>'Div 2'!OSRRefE21_12_3x</vt:lpstr>
      <vt:lpstr>'325'!OSRRefE21_12_4x</vt:lpstr>
      <vt:lpstr>'411'!OSRRefE21_12_4x</vt:lpstr>
      <vt:lpstr>'411'!OSRRefE21_12_5x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'Div 2'!OSRRefE21_12x_0</vt:lpstr>
      <vt:lpstr>'Div 3'!OSRRefE21_12x_0</vt:lpstr>
      <vt:lpstr>'Div 4'!OSRRefE21_12x_0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'Div 2'!OSRRefE21_12x_1</vt:lpstr>
      <vt:lpstr>'Div 3'!OSRRefE21_12x_1</vt:lpstr>
      <vt:lpstr>'Div 4'!OSRRefE21_12x_1</vt:lpstr>
      <vt:lpstr>'Div 6'!OSRRefE21_12x_1</vt:lpstr>
      <vt:lpstr>Summary!OSRRefE21_12x_1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'317'!OSRRefE21_13_0x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'Div 2'!OSRRefE21_13_0x</vt:lpstr>
      <vt:lpstr>'Div 3'!OSRRefE21_13_0x</vt:lpstr>
      <vt:lpstr>'Div 4'!OSRRefE21_13_0x</vt:lpstr>
      <vt:lpstr>'Div 6'!OSRRefE21_13_0x</vt:lpstr>
      <vt:lpstr>Summary!OSRRefE21_13_0x</vt:lpstr>
      <vt:lpstr>'201'!OSRRefE21_13_1x</vt:lpstr>
      <vt:lpstr>'300'!OSRRefE21_13_1x</vt:lpstr>
      <vt:lpstr>'300 &amp; 317'!OSRRefE21_13_1x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'450'!OSRRefE21_13_1x</vt:lpstr>
      <vt:lpstr>'492'!OSRRefE21_13_1x</vt:lpstr>
      <vt:lpstr>'Div 2'!OSRRefE21_13_1x</vt:lpstr>
      <vt:lpstr>'201'!OSRRefE21_13_2x</vt:lpstr>
      <vt:lpstr>'326'!OSRRefE21_13_2x</vt:lpstr>
      <vt:lpstr>'331'!OSRRefE21_13_2x</vt:lpstr>
      <vt:lpstr>'405'!OSRRefE21_13_2x</vt:lpstr>
      <vt:lpstr>'433'!OSRRefE21_13_2x</vt:lpstr>
      <vt:lpstr>'450'!OSRRefE21_13_2x</vt:lpstr>
      <vt:lpstr>'492'!OSRRefE21_13_2x</vt:lpstr>
      <vt:lpstr>'Div 2'!OSRRefE21_13_2x</vt:lpstr>
      <vt:lpstr>'405'!OSRRefE21_13_3x</vt:lpstr>
      <vt:lpstr>'433'!OSRRefE21_13_3x</vt:lpstr>
      <vt:lpstr>'492'!OSRRefE21_13_3x</vt:lpstr>
      <vt:lpstr>'Div 2'!OSRRefE21_13_3x</vt:lpstr>
      <vt:lpstr>'405'!OSRRefE21_13_4x</vt:lpstr>
      <vt:lpstr>'433'!OSRRefE21_13_4x</vt:lpstr>
      <vt:lpstr>'405'!OSRRefE21_13_5x</vt:lpstr>
      <vt:lpstr>'433'!OSRRefE21_13_5x</vt:lpstr>
      <vt:lpstr>'405'!OSRRefE21_13_6x</vt:lpstr>
      <vt:lpstr>'433'!OSRRefE21_13_6x</vt:lpstr>
      <vt:lpstr>'405'!OSRRefE21_13_7x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'317'!OSRRefE21_13x_0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'Div 2'!OSRRefE21_13x_0</vt:lpstr>
      <vt:lpstr>'Div 3'!OSRRefE21_13x_0</vt:lpstr>
      <vt:lpstr>'Div 4'!OSRRefE21_13x_0</vt:lpstr>
      <vt:lpstr>'Div 6'!OSRRefE21_13x_0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'317'!OSRRefE21_13x_1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'Div 2'!OSRRefE21_13x_1</vt:lpstr>
      <vt:lpstr>'Div 3'!OSRRefE21_13x_1</vt:lpstr>
      <vt:lpstr>'Div 4'!OSRRefE21_13x_1</vt:lpstr>
      <vt:lpstr>'Div 6'!OSRRefE21_13x_1</vt:lpstr>
      <vt:lpstr>Summary!OSRRefE21_13x_1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'Div 2'!OSRRefE21_14_1x</vt:lpstr>
      <vt:lpstr>'Div 3'!OSRRefE21_14_1x</vt:lpstr>
      <vt:lpstr>Summary!OSRRefE21_14_1x</vt:lpstr>
      <vt:lpstr>'310'!OSRRefE21_14_2x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'450'!OSRRefE21_14_2x</vt:lpstr>
      <vt:lpstr>'491'!OSRRefE21_14_2x</vt:lpstr>
      <vt:lpstr>'310 &amp; 491'!OSRRefE21_14_3x</vt:lpstr>
      <vt:lpstr>'315'!OSRRefE21_14_3x</vt:lpstr>
      <vt:lpstr>'415'!OSRRefE21_14_3x</vt:lpstr>
      <vt:lpstr>'444'!OSRRefE21_14_3x</vt:lpstr>
      <vt:lpstr>'450'!OSRRefE21_14_3x</vt:lpstr>
      <vt:lpstr>'491'!OSRRefE21_14_3x</vt:lpstr>
      <vt:lpstr>'315'!OSRRefE21_14_4x</vt:lpstr>
      <vt:lpstr>'415'!OSRRefE21_14_4x</vt:lpstr>
      <vt:lpstr>'444'!OSRRefE21_14_4x</vt:lpstr>
      <vt:lpstr>'450'!OSRRefE21_14_4x</vt:lpstr>
      <vt:lpstr>'315'!OSRRefE21_14_5x</vt:lpstr>
      <vt:lpstr>'415'!OSRRefE21_14_5x</vt:lpstr>
      <vt:lpstr>'444'!OSRRefE21_14_5x</vt:lpstr>
      <vt:lpstr>'315'!OSRRefE21_14_6x</vt:lpstr>
      <vt:lpstr>'444'!OSRRefE21_14_6x</vt:lpstr>
      <vt:lpstr>'444'!OSRRefE21_14_7x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'326'!OSRRefE21_15_0x</vt:lpstr>
      <vt:lpstr>'331'!OSRRefE21_15_0x</vt:lpstr>
      <vt:lpstr>'405'!OSRRefE21_15_0x</vt:lpstr>
      <vt:lpstr>'411'!OSRRefE21_15_0x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'301'!OSRRefE21_15_3x</vt:lpstr>
      <vt:lpstr>'310'!OSRRefE21_15_3x</vt:lpstr>
      <vt:lpstr>'326'!OSRRefE21_15_3x</vt:lpstr>
      <vt:lpstr>'492'!OSRRefE21_15_3x</vt:lpstr>
      <vt:lpstr>'Div 4'!OSRRefE21_15_3x</vt:lpstr>
      <vt:lpstr>'310'!OSRRefE21_15_4x</vt:lpstr>
      <vt:lpstr>'326'!OSRRefE21_15_4x</vt:lpstr>
      <vt:lpstr>'492'!OSRRefE21_15_4x</vt:lpstr>
      <vt:lpstr>'310'!OSRRefE21_15_5x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'326'!OSRRefE21_15x_0</vt:lpstr>
      <vt:lpstr>'331'!OSRRefE21_15x_0</vt:lpstr>
      <vt:lpstr>'405'!OSRRefE21_15x_0</vt:lpstr>
      <vt:lpstr>'411'!OSRRefE21_15x_0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'326'!OSRRefE21_15x_1</vt:lpstr>
      <vt:lpstr>'331'!OSRRefE21_15x_1</vt:lpstr>
      <vt:lpstr>'405'!OSRRefE21_15x_1</vt:lpstr>
      <vt:lpstr>'411'!OSRRefE21_15x_1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'310'!OSRRefE21_16_1x</vt:lpstr>
      <vt:lpstr>'310 &amp; 491'!OSRRefE21_16_1x</vt:lpstr>
      <vt:lpstr>'315'!OSRRefE21_16_1x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'301'!OSRRefE21_16_2x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'310 &amp; 491'!OSRRefE21_16_4x</vt:lpstr>
      <vt:lpstr>'491'!OSRRefE21_16_4x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'444'!OSRRefE21_17_0x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'331'!OSRRefE21_17_3x</vt:lpstr>
      <vt:lpstr>'Div 3'!OSRRefE21_17_3x</vt:lpstr>
      <vt:lpstr>'Div 4'!OSRRefE21_17_3x</vt:lpstr>
      <vt:lpstr>'331'!OSRRefE21_17_4x</vt:lpstr>
      <vt:lpstr>'Div 4'!OSRRefE21_17_4x</vt:lpstr>
      <vt:lpstr>'331'!OSRRefE21_17_5x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'444'!OSRRefE21_17x_0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'444'!OSRRefE21_17x_1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'300'!OSRRefE21_18_0x</vt:lpstr>
      <vt:lpstr>'300 &amp; 317'!OSRRefE21_18_0x</vt:lpstr>
      <vt:lpstr>'301'!OSRRefE21_18_0x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'310 &amp; 491'!OSRRefE21_18_1x</vt:lpstr>
      <vt:lpstr>'326'!OSRRefE21_18_1x</vt:lpstr>
      <vt:lpstr>'331'!OSRRefE21_18_1x</vt:lpstr>
      <vt:lpstr>'491'!OSRRefE21_18_1x</vt:lpstr>
      <vt:lpstr>'492'!OSRRefE21_18_1x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'301'!OSRRefE21_18_3x</vt:lpstr>
      <vt:lpstr>'310 &amp; 491'!OSRRefE21_18_3x</vt:lpstr>
      <vt:lpstr>'491'!OSRRefE21_18_3x</vt:lpstr>
      <vt:lpstr>'Div 3'!OSRRefE21_18_3x</vt:lpstr>
      <vt:lpstr>Summary!OSRRefE21_18_3x</vt:lpstr>
      <vt:lpstr>'301'!OSRRefE21_18_4x</vt:lpstr>
      <vt:lpstr>'310 &amp; 491'!OSRRefE21_18_4x</vt:lpstr>
      <vt:lpstr>'491'!OSRRefE21_18_4x</vt:lpstr>
      <vt:lpstr>'301'!OSRRefE21_18_5x</vt:lpstr>
      <vt:lpstr>'310 &amp; 491'!OSRRefE21_18_5x</vt:lpstr>
      <vt:lpstr>'491'!OSRRefE21_18_5x</vt:lpstr>
      <vt:lpstr>'301'!OSRRefE21_18_6x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'326'!OSRRefE21_18x_1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'300'!OSRRefE21_19_0x</vt:lpstr>
      <vt:lpstr>'300 &amp; 317'!OSRRefE21_19_0x</vt:lpstr>
      <vt:lpstr>'301'!OSRRefE21_19_0x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'306'!OSRRefE21_1x_0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'327'!OSRRefE21_1x_0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'420'!OSRRefE21_1x_0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'306'!OSRRefE21_1x_1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'327'!OSRRefE21_1x_1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'420'!OSRRefE21_1x_1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'306'!OSRRefE21_2_0x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'300'!OSRRefE21_22_0x</vt:lpstr>
      <vt:lpstr>'300 &amp; 317'!OSRRefE21_22_0x</vt:lpstr>
      <vt:lpstr>'301'!OSRRefE21_22_0x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'Div 4'!OSRRefE21_22_2x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Summary!OSRRefE21_26_0x</vt:lpstr>
      <vt:lpstr>Summary!OSRRefE21_26x_0</vt:lpstr>
      <vt:lpstr>Summary!OSRRefE21_26x_1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'306'!OSRRefE21_2x_0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'306'!OSRRefE21_2x_1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'306'!OSRRefE21_3_0x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'300'!OSRRefE21_3_1x</vt:lpstr>
      <vt:lpstr>'300 &amp; 317'!OSRRefE21_3_1x</vt:lpstr>
      <vt:lpstr>'301'!OSRRefE21_3_1x</vt:lpstr>
      <vt:lpstr>'308'!OSRRefE21_3_1x</vt:lpstr>
      <vt:lpstr>'311'!OSRRefE21_3_1x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'306'!OSRRefE21_3x_0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'306'!OSRRefE21_3x_1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'306'!OSRRefE21_4_0x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'430'!OSRRefE21_4_2x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'306'!OSRRefE21_4x_0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'306'!OSRRefE21_4x_1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'306'!OSRRefE21_5_0x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'307'!OSRRefE21_5_1x</vt:lpstr>
      <vt:lpstr>'310'!OSRRefE21_5_1x</vt:lpstr>
      <vt:lpstr>'310 &amp; 491'!OSRRefE21_5_1x</vt:lpstr>
      <vt:lpstr>'315'!OSRRefE21_5_1x</vt:lpstr>
      <vt:lpstr>'325'!OSRRefE21_5_1x</vt:lpstr>
      <vt:lpstr>'330'!OSRRefE21_5_1x</vt:lpstr>
      <vt:lpstr>'331'!OSRRefE21_5_1x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'306'!OSRRefE21_5x_0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'306'!OSRRefE21_5x_1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'425'!OSRRefE21_5x_1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'306'!OSRRefE21_6_0x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'413'!OSRRefE21_6_1x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'306'!OSRRefE21_6x_0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'306'!OSRRefE21_6x_1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'306'!OSRRefE21_7_0x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'413'!OSRRefE21_7_1x</vt:lpstr>
      <vt:lpstr>'202'!OSRRefE21_7_2x</vt:lpstr>
      <vt:lpstr>'316'!OSRRefE21_7_2x</vt:lpstr>
      <vt:lpstr>'332'!OSRRefE21_7_2x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'306'!OSRRefE21_7x_0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'306'!OSRRefE21_7x_1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'306'!OSRRefE21_8_0x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'306'!OSRRefE21_8x_0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'306'!OSRRefE21_8x_1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'315'!OSRRefE21_9_1x</vt:lpstr>
      <vt:lpstr>'316'!OSRRefE21_9_1x</vt:lpstr>
      <vt:lpstr>'317'!OSRRefE21_9_1x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'Div 6'!OSRRefE21_9_1x</vt:lpstr>
      <vt:lpstr>'308'!OSRRefE21_9_2x</vt:lpstr>
      <vt:lpstr>'311'!OSRRefE21_9_2x</vt:lpstr>
      <vt:lpstr>'316'!OSRRefE21_9_2x</vt:lpstr>
      <vt:lpstr>'332'!OSRRefE21_9_2x</vt:lpstr>
      <vt:lpstr>'411'!OSRRefE21_9_2x</vt:lpstr>
      <vt:lpstr>'501'!OSRRefE21_9_2x</vt:lpstr>
      <vt:lpstr>'Div 5'!OSRRefE21_9_2x</vt:lpstr>
      <vt:lpstr>'316'!OSRRefE21_9_3x</vt:lpstr>
      <vt:lpstr>'332'!OSRRefE21_9_3x</vt:lpstr>
      <vt:lpstr>'411'!OSRRefE21_9_3x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'306'!OSRRefE23_0x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'306'!OSRRefE28_0x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'313'!OSRRefG11x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'306'!OSRRefG20x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2021-05-14T00:20:33Z</dcterms:created>
  <dcterms:modified xsi:type="dcterms:W3CDTF">2021-05-14T00:28:09Z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